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Sheet1!$A$1:$L$117</definedName>
  </definedNames>
  <calcPr calcId="125725"/>
</workbook>
</file>

<file path=xl/calcChain.xml><?xml version="1.0" encoding="utf-8"?>
<calcChain xmlns="http://schemas.openxmlformats.org/spreadsheetml/2006/main">
  <c r="L99" i="1"/>
  <c r="L95"/>
  <c r="G95"/>
  <c r="H95" s="1"/>
  <c r="L94"/>
  <c r="H94"/>
  <c r="G94"/>
  <c r="L93"/>
  <c r="G93"/>
  <c r="H93" s="1"/>
  <c r="L89"/>
  <c r="G89"/>
  <c r="H89" s="1"/>
  <c r="L88"/>
  <c r="H88"/>
  <c r="G88"/>
  <c r="L87"/>
  <c r="H87"/>
  <c r="G87"/>
  <c r="L83"/>
  <c r="G83"/>
  <c r="H83" s="1"/>
  <c r="L82"/>
  <c r="G82"/>
  <c r="H82" s="1"/>
  <c r="L81"/>
  <c r="G81"/>
  <c r="H81" s="1"/>
  <c r="L80"/>
  <c r="H80"/>
  <c r="G80"/>
  <c r="L76"/>
  <c r="G76"/>
  <c r="H76" s="1"/>
  <c r="L75"/>
  <c r="G75"/>
  <c r="H75" s="1"/>
  <c r="L74"/>
  <c r="H74"/>
  <c r="G74"/>
  <c r="L73"/>
  <c r="H73"/>
  <c r="G73"/>
  <c r="L69"/>
  <c r="G69"/>
  <c r="H69" s="1"/>
  <c r="L68"/>
  <c r="G68"/>
  <c r="H68" s="1"/>
  <c r="L67"/>
  <c r="G67"/>
  <c r="H67" s="1"/>
  <c r="L66"/>
  <c r="H66"/>
  <c r="G66"/>
  <c r="L65"/>
  <c r="G65"/>
  <c r="H65" s="1"/>
  <c r="L61"/>
  <c r="G61"/>
  <c r="H61" s="1"/>
  <c r="L60"/>
  <c r="H60"/>
  <c r="G60"/>
  <c r="L59"/>
  <c r="H59"/>
  <c r="G59"/>
  <c r="L58"/>
  <c r="G58"/>
  <c r="H58" s="1"/>
  <c r="L57"/>
  <c r="G57"/>
  <c r="H57" s="1"/>
  <c r="L53"/>
  <c r="G53"/>
  <c r="H53" s="1"/>
  <c r="L52"/>
  <c r="H52"/>
  <c r="G52"/>
  <c r="L51"/>
  <c r="G51"/>
  <c r="H51" s="1"/>
  <c r="L50"/>
  <c r="G50"/>
  <c r="H50" s="1"/>
  <c r="L49"/>
  <c r="H49"/>
  <c r="G49"/>
  <c r="L48"/>
  <c r="H48"/>
  <c r="G48"/>
  <c r="L44"/>
  <c r="G44"/>
  <c r="H44" s="1"/>
  <c r="L43"/>
  <c r="G43"/>
  <c r="H43" s="1"/>
  <c r="L42"/>
  <c r="G42"/>
  <c r="H42" s="1"/>
  <c r="L41"/>
  <c r="H41"/>
  <c r="G41"/>
  <c r="L40"/>
  <c r="G40"/>
  <c r="H40" s="1"/>
  <c r="L39"/>
  <c r="G39"/>
  <c r="H39" s="1"/>
  <c r="L35"/>
  <c r="H35"/>
  <c r="G35"/>
  <c r="L34"/>
  <c r="H34"/>
  <c r="G34"/>
  <c r="L33"/>
  <c r="G33"/>
  <c r="H33" s="1"/>
  <c r="L32"/>
  <c r="G32"/>
  <c r="H32" s="1"/>
  <c r="L31"/>
  <c r="G31"/>
  <c r="H31" s="1"/>
  <c r="L27"/>
  <c r="H27"/>
  <c r="G27"/>
  <c r="L26"/>
  <c r="G26"/>
  <c r="H26" s="1"/>
  <c r="L25"/>
  <c r="G25"/>
  <c r="H25" s="1"/>
  <c r="L24"/>
  <c r="H24"/>
  <c r="G24"/>
  <c r="L23"/>
  <c r="H23"/>
  <c r="G23"/>
  <c r="L19"/>
  <c r="G19"/>
  <c r="H19" s="1"/>
  <c r="L18"/>
  <c r="G18"/>
  <c r="H18" s="1"/>
  <c r="L17"/>
  <c r="G17"/>
  <c r="H17" s="1"/>
  <c r="L16"/>
  <c r="H16"/>
  <c r="G16"/>
  <c r="L15"/>
  <c r="G15"/>
  <c r="H15" s="1"/>
  <c r="L14"/>
  <c r="G14"/>
  <c r="H14" s="1"/>
  <c r="L10"/>
  <c r="H10"/>
  <c r="G10"/>
  <c r="L9"/>
  <c r="H9"/>
  <c r="G9"/>
  <c r="L8"/>
  <c r="H8"/>
  <c r="L7"/>
  <c r="H7"/>
  <c r="G7"/>
  <c r="L6"/>
  <c r="H6"/>
  <c r="G6"/>
  <c r="L5"/>
  <c r="G5"/>
  <c r="H5" s="1"/>
</calcChain>
</file>

<file path=xl/sharedStrings.xml><?xml version="1.0" encoding="utf-8"?>
<sst xmlns="http://schemas.openxmlformats.org/spreadsheetml/2006/main" count="523" uniqueCount="152">
  <si>
    <t>Company Name: Dalian Blue Ribbon Pet Things Co., Ltd.                                                                                                             
No.97 Shuangsheng Road, Shuangdaowan Street,                                                                                                                         
Lvshunkou District,  Dalian, Liaoning, China
Tel: 86-411-82531219
Fax: 86-411-82531319
Website: www.dlbrpet.com</t>
  </si>
  <si>
    <t>Catalogue for Durable Dog Cages (E-Coating) with Plastic Tray--brown box</t>
  </si>
  <si>
    <t xml:space="preserve">Picture </t>
  </si>
  <si>
    <t>Modle</t>
  </si>
  <si>
    <t xml:space="preserve">Size </t>
  </si>
  <si>
    <t>Wire Gauge</t>
  </si>
  <si>
    <t>Space</t>
  </si>
  <si>
    <t>Packing</t>
  </si>
  <si>
    <t>N.W.</t>
  </si>
  <si>
    <t>G.W.</t>
  </si>
  <si>
    <t>Carton Dimension(cm)</t>
  </si>
  <si>
    <t>CBM</t>
  </si>
  <si>
    <t>(cm)</t>
  </si>
  <si>
    <t>(mm)</t>
  </si>
  <si>
    <t>pcs/ctn</t>
  </si>
  <si>
    <t>(kg)</t>
  </si>
  <si>
    <t>L</t>
  </si>
  <si>
    <t>W</t>
  </si>
  <si>
    <t>H</t>
  </si>
  <si>
    <t>(m3)</t>
  </si>
  <si>
    <t xml:space="preserve">One Door </t>
  </si>
  <si>
    <t>DLBR(D)4019A</t>
  </si>
  <si>
    <t>50.8x33x38.6cm
(20"x13"x15.2 ")</t>
  </si>
  <si>
    <t xml:space="preserve">2.5/3.5/3.5/5.0               </t>
  </si>
  <si>
    <t>DLBR(D)4024A</t>
  </si>
  <si>
    <t>61.5x42.5x50cm
(24.2"x16.7"x19.7")</t>
  </si>
  <si>
    <t>3.0/4.0/4.0/5.0</t>
  </si>
  <si>
    <t>DLBR(D)4030A</t>
  </si>
  <si>
    <t>78.5x52.5x59cm
(31"x20.7"x23.2")</t>
  </si>
  <si>
    <t>DLBR(D)4036A</t>
  </si>
  <si>
    <t>91x59x65.5cm
(36"x23.2"x25.8")</t>
  </si>
  <si>
    <t>DLBR(D)4042A</t>
  </si>
  <si>
    <t>107.5x74.5x80.5cm
(42.3"x29.1"x31.7")</t>
  </si>
  <si>
    <t>DLBR(D)4049A</t>
  </si>
  <si>
    <t>125.8x74.5x80.5cm
(49.5"x29.1"x31.7")</t>
  </si>
  <si>
    <t>Two Doors</t>
  </si>
  <si>
    <t>DLBR(D)4019SA</t>
  </si>
  <si>
    <t>DLBR(D)4024SA</t>
  </si>
  <si>
    <t>DLBR(D)4030SA</t>
  </si>
  <si>
    <t xml:space="preserve">DLBR(D)4036SA </t>
  </si>
  <si>
    <t>DLBR(D)4042SA</t>
  </si>
  <si>
    <t>DLBR(D)4049SA</t>
  </si>
  <si>
    <t>Catalogue for Economic 1 Dog Cages (E-Coating) with Plastic Tray--brown box</t>
  </si>
  <si>
    <t>DLBR(D)4024B</t>
  </si>
  <si>
    <t xml:space="preserve">2.7/3.7/3.7/5.0           </t>
  </si>
  <si>
    <t>DLBR(D)4030B</t>
  </si>
  <si>
    <t>2.7/3.7/3.7/5.0</t>
  </si>
  <si>
    <t>DLBR(D)4036B</t>
  </si>
  <si>
    <t>DLBR(D)4042B</t>
  </si>
  <si>
    <t>DLBR(D)4049B</t>
  </si>
  <si>
    <t>DLBR(D)4024SB</t>
  </si>
  <si>
    <t xml:space="preserve">2.7/3.7/3.7/5.0          </t>
  </si>
  <si>
    <t>DLBR(D)4030SB</t>
  </si>
  <si>
    <t>DLBR(D)4036SB</t>
  </si>
  <si>
    <t>DLBR(D)4042SB</t>
  </si>
  <si>
    <t>DLBR(D)4049SB</t>
  </si>
  <si>
    <t>Catalogue for Economic 2 Dog Cages (E-Coating) with Plastic Tray--brown box</t>
  </si>
  <si>
    <t>DLBR(D)4019C</t>
  </si>
  <si>
    <t xml:space="preserve">2.5/3.0/3.0/5.0              </t>
  </si>
  <si>
    <t>DLBR(D)4024C</t>
  </si>
  <si>
    <t>2.5/3.0/3.7/5.0</t>
  </si>
  <si>
    <t>DLBR(D)4030C</t>
  </si>
  <si>
    <t>DLBR(D)4036C</t>
  </si>
  <si>
    <t>DLBR(D)4042C</t>
  </si>
  <si>
    <t>DLBR(D)4049C</t>
  </si>
  <si>
    <t>DLBR(D)4019SC</t>
  </si>
  <si>
    <t xml:space="preserve">2.5/3.0/3.0/5.0               </t>
  </si>
  <si>
    <t>DLBR(D)4024SC</t>
  </si>
  <si>
    <t>DLBR(D)4030SC</t>
  </si>
  <si>
    <t>DLBR(D)4036SC</t>
  </si>
  <si>
    <t>DLBR(D)4042SC</t>
  </si>
  <si>
    <t>DLBR(D)4049SC</t>
  </si>
  <si>
    <t>Catalogue for Luxury 1 Dog Cages (E-Coating) with Plastic Tray--brown box</t>
  </si>
  <si>
    <t>DLBR(D)4024HA</t>
  </si>
  <si>
    <t>61.5x42.5x52cm
(24.2"x16.7"x20.5")</t>
  </si>
  <si>
    <t xml:space="preserve">3.0/4.0/4.7/5.0         </t>
  </si>
  <si>
    <t>DLBR(D)4030HA</t>
  </si>
  <si>
    <t>3.0/4.0/4.7/5.0</t>
  </si>
  <si>
    <t>DLBR(D)4036HA</t>
  </si>
  <si>
    <t>91x59x66cm
(36"x23.2"x25.8")</t>
  </si>
  <si>
    <t>DLBR(D)4042HA</t>
  </si>
  <si>
    <t>DLBR(D)4049HA</t>
  </si>
  <si>
    <t>125.8x74.5x83cm
(49.5"x29.1"x32.7")</t>
  </si>
  <si>
    <t>Catalogue for Luxury 2 Dog Cages (E-Coating) with Plastic Tray--brown box</t>
  </si>
  <si>
    <t>DLBR(D)4024HB</t>
  </si>
  <si>
    <t xml:space="preserve">3.7/4.5/4.7/5.0          </t>
  </si>
  <si>
    <t>DLBR(D)4030HB</t>
  </si>
  <si>
    <t>3.7/4.5/4.7/5.0</t>
  </si>
  <si>
    <t>DLBR(D)4036HB</t>
  </si>
  <si>
    <t>DLBR(D)4042HB</t>
  </si>
  <si>
    <t>DLBR(D)4049HB</t>
  </si>
  <si>
    <t>Catalogue for Three-door Dog Cages (dual coated,hammertone finished) with Plastic Tray--brown box</t>
  </si>
  <si>
    <t>Catalogue for Trapezoid Transport Dog Cages with Plastic Tray (E-Coating)--brown box</t>
  </si>
  <si>
    <t xml:space="preserve"> </t>
  </si>
  <si>
    <r>
      <rPr>
        <b/>
        <sz val="12"/>
        <rFont val="Times New Roman"/>
        <family val="1"/>
      </rPr>
      <t xml:space="preserve">2.7/3.7/3.7/5.0           </t>
    </r>
    <r>
      <rPr>
        <sz val="12"/>
        <rFont val="Times New Roman"/>
        <family val="1"/>
      </rPr>
      <t xml:space="preserve"> </t>
    </r>
  </si>
  <si>
    <t>Catalogue for One-Sloping Transport Dog Cages with Plastic Tray (E-Coating)--brown box</t>
  </si>
  <si>
    <t>61.5x42.5x47.2cm
(24.2"x16.7"x18.6")</t>
  </si>
  <si>
    <t xml:space="preserve">3.0/4.0/4.0/5.0          </t>
  </si>
  <si>
    <t>78.5x52.5x55.6cm
(31"x20.7"x21.9")</t>
  </si>
  <si>
    <t>91x59x61.6cm
(36"x23.2"x24.3")</t>
  </si>
  <si>
    <t>Catalogue for Slide Door Folding Dog Cages with Plastic Tray (E-Coating)--brown box</t>
  </si>
  <si>
    <t>DLBR(D)4030HD</t>
  </si>
  <si>
    <t>DLBR(D)4036HD</t>
  </si>
  <si>
    <t>DLBR(D)4042HD</t>
  </si>
  <si>
    <t>Catalogue for Hooked Connect Dog Cages with Plastic Tray--brown box</t>
  </si>
  <si>
    <t>DLBR(D)4019MA</t>
  </si>
  <si>
    <t>50.8x33x38cm
(20"x13"x15 ")</t>
  </si>
  <si>
    <t>2.5/3.5/3.5/5.0</t>
  </si>
  <si>
    <t xml:space="preserve">Catalogue for Aluminum Dog Cages </t>
  </si>
  <si>
    <t>Remark</t>
  </si>
  <si>
    <t>Single Door</t>
  </si>
  <si>
    <t xml:space="preserve">DLBR(D)4010  </t>
  </si>
  <si>
    <t xml:space="preserve">57x 67 x 50cm </t>
  </si>
  <si>
    <t xml:space="preserve">DLBR(D)4011  </t>
  </si>
  <si>
    <t xml:space="preserve">91 x 65 x 69.5cm </t>
  </si>
  <si>
    <t>Double Doors</t>
  </si>
  <si>
    <t xml:space="preserve">DLBR(D)4012   </t>
  </si>
  <si>
    <t>104 x 91 x 69.5cm</t>
  </si>
  <si>
    <t xml:space="preserve">DLBR(D)4013   </t>
  </si>
  <si>
    <t>91 x 65 x 65cm</t>
  </si>
  <si>
    <t xml:space="preserve">DLBR(D)4014   </t>
  </si>
  <si>
    <t>92 x 65 x 93cm</t>
  </si>
  <si>
    <t>wheels：32x17x16cm</t>
  </si>
  <si>
    <t>Catalogue for Dog Bed</t>
    <phoneticPr fontId="28" type="noConversion"/>
  </si>
  <si>
    <t>DLBR(D)3619</t>
    <phoneticPr fontId="28" type="noConversion"/>
  </si>
  <si>
    <t>DLBR(D)4224</t>
    <phoneticPr fontId="28" type="noConversion"/>
  </si>
  <si>
    <t>DLBR(D)3619-1</t>
    <phoneticPr fontId="28" type="noConversion"/>
  </si>
  <si>
    <t>DLBR(D)4224-1</t>
    <phoneticPr fontId="28" type="noConversion"/>
  </si>
  <si>
    <t>DLBR(D)4924</t>
    <phoneticPr fontId="28" type="noConversion"/>
  </si>
  <si>
    <t>DLBR(D)4924-1</t>
    <phoneticPr fontId="28" type="noConversion"/>
  </si>
  <si>
    <t xml:space="preserve">Picture </t>
    <phoneticPr fontId="28" type="noConversion"/>
  </si>
  <si>
    <t>Modle</t>
    <phoneticPr fontId="28" type="noConversion"/>
  </si>
  <si>
    <t>Remark</t>
    <phoneticPr fontId="28" type="noConversion"/>
  </si>
  <si>
    <t>61.5x42.5x50cm
(24.2"x16.7"x19.7")</t>
    <phoneticPr fontId="28" type="noConversion"/>
  </si>
  <si>
    <t>124.5x61x15cm
(49"x24"x6")</t>
    <phoneticPr fontId="28" type="noConversion"/>
  </si>
  <si>
    <t>107x61x15cm
(42"x24"x6")</t>
    <phoneticPr fontId="28" type="noConversion"/>
  </si>
  <si>
    <t>91x48x15cm
(36"x19"x6")</t>
    <phoneticPr fontId="28" type="noConversion"/>
  </si>
  <si>
    <t>Carton Dimension (cm)</t>
    <phoneticPr fontId="28" type="noConversion"/>
  </si>
  <si>
    <t>Square tube 16</t>
    <phoneticPr fontId="28" type="noConversion"/>
  </si>
  <si>
    <t>DLBR(D)S4030</t>
    <phoneticPr fontId="28" type="noConversion"/>
  </si>
  <si>
    <t>DLBR(D)S4036</t>
    <phoneticPr fontId="28" type="noConversion"/>
  </si>
  <si>
    <t>DLBR(D)S4042</t>
    <phoneticPr fontId="28" type="noConversion"/>
  </si>
  <si>
    <t>DLBR(D)S4049</t>
    <phoneticPr fontId="28" type="noConversion"/>
  </si>
  <si>
    <t>DLBR(D)4024DY</t>
    <phoneticPr fontId="28" type="noConversion"/>
  </si>
  <si>
    <t>DLBR(D)4030DY</t>
    <phoneticPr fontId="28" type="noConversion"/>
  </si>
  <si>
    <t>DLBR(D)4036DY</t>
    <phoneticPr fontId="28" type="noConversion"/>
  </si>
  <si>
    <t>DLBR(D)4042DY</t>
    <phoneticPr fontId="28" type="noConversion"/>
  </si>
  <si>
    <t>DLBR(D)4024CB</t>
    <phoneticPr fontId="28" type="noConversion"/>
  </si>
  <si>
    <t>DLBR(D)4030CB</t>
    <phoneticPr fontId="28" type="noConversion"/>
  </si>
  <si>
    <t>DLBR(D)4036CB</t>
    <phoneticPr fontId="28" type="noConversion"/>
  </si>
  <si>
    <t>Remarks: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Port of delivery: FOB Dalian Port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Period of delivery : 40-45 working days after receiving the deposit from purchaser.
- Terms of payment: T/T  (50% deposit 50% balance payment before loading)
- Above price is made according to our MOQ (100pcs per size), If your quantity less than our MOQ, the price will lift 10%.     
- Package : Brown carton</t>
    <phoneticPr fontId="28" type="noConversion"/>
  </si>
  <si>
    <t>New</t>
    <phoneticPr fontId="28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</si>
</sst>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);[Red]\(0.00\)"/>
    <numFmt numFmtId="178" formatCode="0.00_ "/>
  </numFmts>
  <fonts count="39">
    <font>
      <sz val="11"/>
      <color indexed="8"/>
      <name val="宋体"/>
      <charset val="134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5"/>
      <color indexed="8"/>
      <name val="Times New Roman"/>
      <family val="1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6"/>
      <color rgb="FF0066CC"/>
      <name val="Times New Roman"/>
      <family val="1"/>
    </font>
    <font>
      <b/>
      <sz val="12"/>
      <color indexed="8"/>
      <name val="Times New Roman"/>
      <family val="1"/>
    </font>
    <font>
      <b/>
      <sz val="14"/>
      <color rgb="FF0066CC"/>
      <name val="Times New Roman"/>
      <family val="1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14"/>
      <color indexed="8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1" fillId="0" borderId="0" applyBorder="0"/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1" fillId="0" borderId="0" applyBorder="0"/>
    <xf numFmtId="0" fontId="37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21" fillId="0" borderId="0" applyProtection="0"/>
    <xf numFmtId="0" fontId="28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1" fillId="26" borderId="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0" fillId="15" borderId="3" applyNumberFormat="0" applyAlignment="0" applyProtection="0">
      <alignment vertical="center"/>
    </xf>
    <xf numFmtId="0" fontId="37" fillId="27" borderId="10" applyNumberFormat="0" applyFont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177" fontId="3" fillId="2" borderId="0" xfId="0" applyNumberFormat="1" applyFont="1" applyFill="1" applyBorder="1" applyAlignment="1">
      <alignment vertical="center"/>
    </xf>
    <xf numFmtId="176" fontId="3" fillId="2" borderId="0" xfId="32" applyNumberFormat="1" applyFont="1" applyFill="1" applyAlignment="1">
      <alignment horizontal="center" vertical="center"/>
    </xf>
    <xf numFmtId="0" fontId="7" fillId="2" borderId="1" xfId="34" applyNumberFormat="1" applyFont="1" applyFill="1" applyBorder="1" applyAlignment="1">
      <alignment horizontal="center" vertical="center"/>
    </xf>
    <xf numFmtId="0" fontId="7" fillId="2" borderId="1" xfId="34" applyNumberFormat="1" applyFont="1" applyFill="1" applyBorder="1" applyAlignment="1">
      <alignment horizontal="center" vertical="center" wrapText="1"/>
    </xf>
    <xf numFmtId="177" fontId="7" fillId="2" borderId="1" xfId="34" applyNumberFormat="1" applyFont="1" applyFill="1" applyBorder="1" applyAlignment="1">
      <alignment horizontal="center" vertical="center"/>
    </xf>
    <xf numFmtId="0" fontId="9" fillId="2" borderId="1" xfId="34" applyNumberFormat="1" applyFont="1" applyFill="1" applyBorder="1" applyAlignment="1">
      <alignment horizontal="center" vertical="center"/>
    </xf>
    <xf numFmtId="0" fontId="9" fillId="2" borderId="1" xfId="34" applyNumberFormat="1" applyFont="1" applyFill="1" applyBorder="1" applyAlignment="1">
      <alignment horizontal="center" vertical="center" wrapText="1"/>
    </xf>
    <xf numFmtId="0" fontId="10" fillId="2" borderId="0" xfId="32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left" vertical="top" wrapText="1"/>
    </xf>
    <xf numFmtId="0" fontId="9" fillId="0" borderId="1" xfId="34" applyNumberFormat="1" applyFont="1" applyFill="1" applyBorder="1" applyAlignment="1">
      <alignment horizontal="center" vertical="center"/>
    </xf>
    <xf numFmtId="0" fontId="9" fillId="0" borderId="1" xfId="34" applyNumberFormat="1" applyFont="1" applyFill="1" applyBorder="1" applyAlignment="1">
      <alignment horizontal="center" vertical="center" wrapText="1"/>
    </xf>
    <xf numFmtId="0" fontId="7" fillId="0" borderId="1" xfId="34" applyNumberFormat="1" applyFont="1" applyFill="1" applyBorder="1" applyAlignment="1">
      <alignment horizontal="center" vertical="center"/>
    </xf>
    <xf numFmtId="0" fontId="7" fillId="0" borderId="1" xfId="34" applyNumberFormat="1" applyFont="1" applyFill="1" applyBorder="1" applyAlignment="1">
      <alignment horizontal="center" vertical="center" wrapText="1"/>
    </xf>
    <xf numFmtId="177" fontId="7" fillId="0" borderId="1" xfId="34" applyNumberFormat="1" applyFont="1" applyFill="1" applyBorder="1" applyAlignment="1">
      <alignment horizontal="center" vertical="center"/>
    </xf>
    <xf numFmtId="0" fontId="10" fillId="2" borderId="1" xfId="32" applyNumberFormat="1" applyFont="1" applyFill="1" applyBorder="1" applyAlignment="1">
      <alignment horizontal="center"/>
    </xf>
    <xf numFmtId="0" fontId="12" fillId="2" borderId="0" xfId="32" applyNumberFormat="1" applyFont="1" applyFill="1" applyBorder="1" applyAlignment="1">
      <alignment vertical="center"/>
    </xf>
    <xf numFmtId="0" fontId="38" fillId="2" borderId="0" xfId="0" applyFont="1" applyFill="1">
      <alignment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11" xfId="34" applyNumberFormat="1" applyFont="1" applyFill="1" applyBorder="1" applyAlignment="1">
      <alignment horizontal="center" vertical="center" wrapText="1"/>
    </xf>
    <xf numFmtId="0" fontId="7" fillId="2" borderId="11" xfId="34" applyNumberFormat="1" applyFont="1" applyFill="1" applyBorder="1" applyAlignment="1">
      <alignment horizontal="center" vertical="center"/>
    </xf>
    <xf numFmtId="177" fontId="7" fillId="2" borderId="11" xfId="34" applyNumberFormat="1" applyFont="1" applyFill="1" applyBorder="1" applyAlignment="1">
      <alignment horizontal="center" vertical="center"/>
    </xf>
    <xf numFmtId="0" fontId="9" fillId="2" borderId="11" xfId="34" applyNumberFormat="1" applyFont="1" applyFill="1" applyBorder="1" applyAlignment="1">
      <alignment horizontal="center" vertical="center" wrapText="1"/>
    </xf>
    <xf numFmtId="0" fontId="9" fillId="2" borderId="11" xfId="32" applyNumberFormat="1" applyFont="1" applyFill="1" applyBorder="1" applyAlignment="1">
      <alignment horizontal="center" vertical="center" wrapText="1"/>
    </xf>
    <xf numFmtId="0" fontId="9" fillId="2" borderId="11" xfId="32" applyNumberFormat="1" applyFont="1" applyFill="1" applyBorder="1" applyAlignment="1">
      <alignment horizontal="center" vertical="center"/>
    </xf>
    <xf numFmtId="0" fontId="9" fillId="2" borderId="11" xfId="32" applyNumberFormat="1" applyFont="1" applyFill="1" applyBorder="1" applyAlignment="1">
      <alignment horizontal="center" wrapText="1"/>
    </xf>
    <xf numFmtId="49" fontId="9" fillId="2" borderId="11" xfId="34" applyNumberFormat="1" applyFont="1" applyFill="1" applyBorder="1" applyAlignment="1">
      <alignment horizontal="center" vertical="center" wrapText="1"/>
    </xf>
    <xf numFmtId="178" fontId="9" fillId="2" borderId="11" xfId="34" applyNumberFormat="1" applyFont="1" applyFill="1" applyBorder="1" applyAlignment="1">
      <alignment horizontal="center" vertical="center" wrapText="1"/>
    </xf>
    <xf numFmtId="0" fontId="3" fillId="2" borderId="11" xfId="0" applyFont="1" applyFill="1" applyBorder="1">
      <alignment vertical="center"/>
    </xf>
    <xf numFmtId="0" fontId="3" fillId="0" borderId="11" xfId="13" applyFont="1" applyBorder="1">
      <alignment vertical="center"/>
    </xf>
    <xf numFmtId="0" fontId="13" fillId="5" borderId="11" xfId="3" applyFont="1" applyFill="1" applyBorder="1" applyAlignment="1">
      <alignment horizontal="center" vertical="center" wrapText="1"/>
    </xf>
    <xf numFmtId="0" fontId="13" fillId="5" borderId="11" xfId="3" applyFont="1" applyFill="1" applyBorder="1" applyAlignment="1">
      <alignment horizontal="center" vertical="center"/>
    </xf>
    <xf numFmtId="177" fontId="13" fillId="5" borderId="11" xfId="3" applyNumberFormat="1" applyFont="1" applyFill="1" applyBorder="1" applyAlignment="1">
      <alignment horizontal="center" vertical="center"/>
    </xf>
    <xf numFmtId="49" fontId="10" fillId="0" borderId="11" xfId="33" applyNumberFormat="1" applyFont="1" applyFill="1" applyBorder="1" applyAlignment="1">
      <alignment horizontal="center" vertical="center" wrapText="1"/>
    </xf>
    <xf numFmtId="0" fontId="9" fillId="5" borderId="11" xfId="3" applyFont="1" applyFill="1" applyBorder="1" applyAlignment="1">
      <alignment horizontal="center" wrapText="1"/>
    </xf>
    <xf numFmtId="0" fontId="14" fillId="5" borderId="11" xfId="3" applyFont="1" applyFill="1" applyBorder="1" applyAlignment="1">
      <alignment horizontal="center" vertical="center"/>
    </xf>
    <xf numFmtId="0" fontId="9" fillId="5" borderId="11" xfId="3" applyNumberFormat="1" applyFont="1" applyFill="1" applyBorder="1" applyAlignment="1">
      <alignment horizontal="center" wrapText="1"/>
    </xf>
    <xf numFmtId="0" fontId="13" fillId="5" borderId="11" xfId="3" applyNumberFormat="1" applyFont="1" applyFill="1" applyBorder="1" applyAlignment="1">
      <alignment horizontal="center" vertical="center" wrapText="1"/>
    </xf>
    <xf numFmtId="0" fontId="13" fillId="0" borderId="11" xfId="35" applyFont="1" applyBorder="1" applyAlignment="1">
      <alignment horizontal="center" vertical="center" wrapText="1"/>
    </xf>
    <xf numFmtId="49" fontId="16" fillId="0" borderId="11" xfId="33" applyNumberFormat="1" applyFont="1" applyFill="1" applyBorder="1" applyAlignment="1">
      <alignment horizontal="center" vertical="center" wrapText="1"/>
    </xf>
    <xf numFmtId="0" fontId="7" fillId="0" borderId="11" xfId="3" applyNumberFormat="1" applyFont="1" applyFill="1" applyBorder="1" applyAlignment="1">
      <alignment horizontal="center" vertical="center" wrapText="1"/>
    </xf>
    <xf numFmtId="177" fontId="7" fillId="5" borderId="11" xfId="3" applyNumberFormat="1" applyFont="1" applyFill="1" applyBorder="1" applyAlignment="1">
      <alignment horizontal="center" vertical="center"/>
    </xf>
    <xf numFmtId="0" fontId="6" fillId="0" borderId="11" xfId="33" applyNumberFormat="1" applyFont="1" applyFill="1" applyBorder="1" applyAlignment="1">
      <alignment horizontal="center" vertical="center" wrapText="1"/>
    </xf>
    <xf numFmtId="49" fontId="6" fillId="0" borderId="11" xfId="33" applyNumberFormat="1" applyFont="1" applyFill="1" applyBorder="1" applyAlignment="1">
      <alignment horizontal="center" vertical="center" wrapText="1"/>
    </xf>
    <xf numFmtId="0" fontId="15" fillId="6" borderId="11" xfId="0" applyNumberFormat="1" applyFont="1" applyFill="1" applyBorder="1" applyAlignment="1">
      <alignment horizontal="left" vertical="center" wrapText="1"/>
    </xf>
    <xf numFmtId="0" fontId="4" fillId="3" borderId="1" xfId="32" applyNumberFormat="1" applyFont="1" applyFill="1" applyBorder="1" applyAlignment="1">
      <alignment horizontal="left" vertical="center" wrapText="1"/>
    </xf>
    <xf numFmtId="0" fontId="5" fillId="4" borderId="1" xfId="32" applyNumberFormat="1" applyFont="1" applyFill="1" applyBorder="1" applyAlignment="1">
      <alignment horizontal="center" vertical="center" wrapText="1"/>
    </xf>
    <xf numFmtId="177" fontId="7" fillId="2" borderId="1" xfId="34" applyNumberFormat="1" applyFont="1" applyFill="1" applyBorder="1" applyAlignment="1">
      <alignment horizontal="center" vertical="center" wrapText="1"/>
    </xf>
    <xf numFmtId="177" fontId="7" fillId="0" borderId="1" xfId="34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7" fillId="2" borderId="1" xfId="34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7" fillId="2" borderId="11" xfId="34" applyNumberFormat="1" applyFont="1" applyFill="1" applyBorder="1" applyAlignment="1">
      <alignment horizontal="center" vertical="center" wrapText="1"/>
    </xf>
    <xf numFmtId="0" fontId="5" fillId="4" borderId="11" xfId="32" applyNumberFormat="1" applyFont="1" applyFill="1" applyBorder="1" applyAlignment="1">
      <alignment horizontal="center" vertical="center" wrapText="1"/>
    </xf>
    <xf numFmtId="0" fontId="6" fillId="2" borderId="11" xfId="32" applyNumberFormat="1" applyFont="1" applyFill="1" applyBorder="1" applyAlignment="1">
      <alignment horizontal="center" vertical="center"/>
    </xf>
    <xf numFmtId="0" fontId="10" fillId="2" borderId="11" xfId="32" applyNumberFormat="1" applyFont="1" applyFill="1" applyBorder="1" applyAlignment="1">
      <alignment horizontal="center"/>
    </xf>
    <xf numFmtId="0" fontId="6" fillId="2" borderId="1" xfId="32" applyNumberFormat="1" applyFont="1" applyFill="1" applyBorder="1" applyAlignment="1">
      <alignment horizontal="center" vertical="center"/>
    </xf>
    <xf numFmtId="0" fontId="8" fillId="2" borderId="1" xfId="32" applyNumberFormat="1" applyFont="1" applyFill="1" applyBorder="1" applyAlignment="1">
      <alignment horizontal="center"/>
    </xf>
    <xf numFmtId="0" fontId="10" fillId="2" borderId="1" xfId="32" applyNumberFormat="1" applyFont="1" applyFill="1" applyBorder="1" applyAlignment="1">
      <alignment horizontal="center"/>
    </xf>
    <xf numFmtId="0" fontId="11" fillId="0" borderId="1" xfId="32" applyNumberFormat="1" applyFont="1" applyFill="1" applyBorder="1" applyAlignment="1">
      <alignment horizontal="center"/>
    </xf>
    <xf numFmtId="0" fontId="10" fillId="0" borderId="1" xfId="32" applyNumberFormat="1" applyFont="1" applyFill="1" applyBorder="1" applyAlignment="1">
      <alignment horizontal="center"/>
    </xf>
    <xf numFmtId="0" fontId="6" fillId="0" borderId="1" xfId="32" applyNumberFormat="1" applyFont="1" applyFill="1" applyBorder="1" applyAlignment="1">
      <alignment horizontal="center" vertical="center"/>
    </xf>
    <xf numFmtId="0" fontId="11" fillId="2" borderId="11" xfId="32" applyNumberFormat="1" applyFont="1" applyFill="1" applyBorder="1" applyAlignment="1">
      <alignment horizontal="center"/>
    </xf>
    <xf numFmtId="0" fontId="16" fillId="2" borderId="11" xfId="32" applyNumberFormat="1" applyFont="1" applyFill="1" applyBorder="1" applyAlignment="1">
      <alignment horizontal="center"/>
    </xf>
    <xf numFmtId="0" fontId="9" fillId="5" borderId="11" xfId="3" applyFont="1" applyFill="1" applyBorder="1" applyAlignment="1">
      <alignment horizontal="center" wrapText="1"/>
    </xf>
    <xf numFmtId="0" fontId="5" fillId="4" borderId="11" xfId="3" applyNumberFormat="1" applyFont="1" applyFill="1" applyBorder="1" applyAlignment="1">
      <alignment horizontal="center" vertical="center" wrapText="1"/>
    </xf>
    <xf numFmtId="0" fontId="9" fillId="5" borderId="11" xfId="3" applyNumberFormat="1" applyFont="1" applyFill="1" applyBorder="1" applyAlignment="1">
      <alignment horizontal="center" wrapText="1"/>
    </xf>
    <xf numFmtId="0" fontId="7" fillId="0" borderId="11" xfId="3" applyNumberFormat="1" applyFont="1" applyFill="1" applyBorder="1" applyAlignment="1">
      <alignment horizontal="center" vertical="center" wrapText="1"/>
    </xf>
  </cellXfs>
  <cellStyles count="50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3232" xfId="17"/>
    <cellStyle name="3232 2" xfId="3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0"/>
    <cellStyle name="60% - 强调文字颜色 1 2" xfId="19"/>
    <cellStyle name="60% - 强调文字颜色 2 2" xfId="20"/>
    <cellStyle name="60% - 强调文字颜色 3 2" xfId="21"/>
    <cellStyle name="60% - 强调文字颜色 4 2" xfId="22"/>
    <cellStyle name="60% - 强调文字颜色 5 2" xfId="23"/>
    <cellStyle name="60% - 强调文字颜色 6 2" xfId="24"/>
    <cellStyle name="Normal_Quotation for Kingval headphones dd Mar07, 05" xfId="25"/>
    <cellStyle name="标题 1 2" xfId="26"/>
    <cellStyle name="标题 2 2" xfId="27"/>
    <cellStyle name="标题 3 2" xfId="28"/>
    <cellStyle name="标题 4 2" xfId="29"/>
    <cellStyle name="标题 5" xfId="30"/>
    <cellStyle name="差 2" xfId="31"/>
    <cellStyle name="常规" xfId="0" builtinId="0"/>
    <cellStyle name="常规 2" xfId="32"/>
    <cellStyle name="常规 2 2" xfId="33"/>
    <cellStyle name="常规 3" xfId="13"/>
    <cellStyle name="常规_Sheet1" xfId="34"/>
    <cellStyle name="常规_Sheet2" xfId="35"/>
    <cellStyle name="好 2" xfId="36"/>
    <cellStyle name="汇总 2" xfId="37"/>
    <cellStyle name="计算 2" xfId="2"/>
    <cellStyle name="检查单元格 2" xfId="38"/>
    <cellStyle name="解释性文本 2" xfId="39"/>
    <cellStyle name="警告文本 2" xfId="40"/>
    <cellStyle name="链接单元格 2" xfId="41"/>
    <cellStyle name="强调文字颜色 1 2" xfId="42"/>
    <cellStyle name="强调文字颜色 2 2" xfId="43"/>
    <cellStyle name="强调文字颜色 3 2" xfId="44"/>
    <cellStyle name="强调文字颜色 4 2" xfId="45"/>
    <cellStyle name="强调文字颜色 5 2" xfId="46"/>
    <cellStyle name="强调文字颜色 6 2" xfId="47"/>
    <cellStyle name="适中 2" xfId="9"/>
    <cellStyle name="输出 2" xfId="8"/>
    <cellStyle name="输入 2" xfId="48"/>
    <cellStyle name="注释 2" xfId="49"/>
  </cellStyles>
  <dxfs count="0"/>
  <tableStyles count="0" defaultTableStyle="TableStyleMedium9" defaultPivotStyle="PivotStyleLight16"/>
  <colors>
    <mruColors>
      <color rgb="FFCCFFFF"/>
      <color rgb="FFB3EBD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126816</xdr:colOff>
      <xdr:row>79</xdr:row>
      <xdr:rowOff>111309</xdr:rowOff>
    </xdr:from>
    <xdr:to>
      <xdr:col>0</xdr:col>
      <xdr:colOff>1882849</xdr:colOff>
      <xdr:row>81</xdr:row>
      <xdr:rowOff>457363</xdr:rowOff>
    </xdr:to>
    <xdr:pic>
      <xdr:nvPicPr>
        <xdr:cNvPr id="4698" name="图片 11" descr="DSC07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26816" y="39318867"/>
          <a:ext cx="1756033" cy="1365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3944</xdr:colOff>
      <xdr:row>0</xdr:row>
      <xdr:rowOff>199362</xdr:rowOff>
    </xdr:from>
    <xdr:to>
      <xdr:col>11</xdr:col>
      <xdr:colOff>575931</xdr:colOff>
      <xdr:row>0</xdr:row>
      <xdr:rowOff>1686668</xdr:rowOff>
    </xdr:to>
    <xdr:pic>
      <xdr:nvPicPr>
        <xdr:cNvPr id="4699" name="图片 19" descr="DSC03752111_副本_副本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7059089" y="199362"/>
          <a:ext cx="5688906" cy="14873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132907</xdr:colOff>
      <xdr:row>38</xdr:row>
      <xdr:rowOff>487325</xdr:rowOff>
    </xdr:from>
    <xdr:to>
      <xdr:col>0</xdr:col>
      <xdr:colOff>1982529</xdr:colOff>
      <xdr:row>42</xdr:row>
      <xdr:rowOff>180825</xdr:rowOff>
    </xdr:to>
    <xdr:pic>
      <xdr:nvPicPr>
        <xdr:cNvPr id="4705" name="图片 28" descr="狗笼单门_副本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132907" y="20390145"/>
          <a:ext cx="1849622" cy="1820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191068</xdr:colOff>
      <xdr:row>48</xdr:row>
      <xdr:rowOff>143981</xdr:rowOff>
    </xdr:from>
    <xdr:to>
      <xdr:col>0</xdr:col>
      <xdr:colOff>1849622</xdr:colOff>
      <xdr:row>51</xdr:row>
      <xdr:rowOff>352670</xdr:rowOff>
    </xdr:to>
    <xdr:pic>
      <xdr:nvPicPr>
        <xdr:cNvPr id="4706" name="图片 33" descr="狗笼双门_副本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191068" y="24787150"/>
          <a:ext cx="1658554" cy="1737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605390</xdr:colOff>
      <xdr:row>98</xdr:row>
      <xdr:rowOff>99902</xdr:rowOff>
    </xdr:from>
    <xdr:to>
      <xdr:col>0</xdr:col>
      <xdr:colOff>1469886</xdr:colOff>
      <xdr:row>98</xdr:row>
      <xdr:rowOff>775290</xdr:rowOff>
    </xdr:to>
    <xdr:pic>
      <xdr:nvPicPr>
        <xdr:cNvPr id="4708" name="Picture 375" descr="XV%EY~D1UQMMZ`CSTJYLYPY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>
        <a:xfrm>
          <a:off x="605390" y="48123623"/>
          <a:ext cx="864496" cy="675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22</xdr:row>
      <xdr:rowOff>420871</xdr:rowOff>
    </xdr:from>
    <xdr:to>
      <xdr:col>0</xdr:col>
      <xdr:colOff>1905000</xdr:colOff>
      <xdr:row>26</xdr:row>
      <xdr:rowOff>11075</xdr:rowOff>
    </xdr:to>
    <xdr:pic>
      <xdr:nvPicPr>
        <xdr:cNvPr id="4709" name="图片 28" descr="狗笼单门_副本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114300" y="12371423"/>
          <a:ext cx="1790700" cy="1860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250030</xdr:colOff>
      <xdr:row>31</xdr:row>
      <xdr:rowOff>134650</xdr:rowOff>
    </xdr:from>
    <xdr:to>
      <xdr:col>0</xdr:col>
      <xdr:colOff>1750218</xdr:colOff>
      <xdr:row>34</xdr:row>
      <xdr:rowOff>75758</xdr:rowOff>
    </xdr:to>
    <xdr:pic>
      <xdr:nvPicPr>
        <xdr:cNvPr id="4710" name="图片 33" descr="狗笼双门_副本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250030" y="16493284"/>
          <a:ext cx="1500188" cy="1569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130969</xdr:colOff>
      <xdr:row>4</xdr:row>
      <xdr:rowOff>510960</xdr:rowOff>
    </xdr:from>
    <xdr:to>
      <xdr:col>0</xdr:col>
      <xdr:colOff>1988668</xdr:colOff>
      <xdr:row>8</xdr:row>
      <xdr:rowOff>91096</xdr:rowOff>
    </xdr:to>
    <xdr:pic>
      <xdr:nvPicPr>
        <xdr:cNvPr id="4711" name="图片 28" descr="狗笼单门_副本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130810" y="3694430"/>
          <a:ext cx="1857375" cy="1771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215864</xdr:colOff>
      <xdr:row>15</xdr:row>
      <xdr:rowOff>24384</xdr:rowOff>
    </xdr:from>
    <xdr:to>
      <xdr:col>0</xdr:col>
      <xdr:colOff>1816395</xdr:colOff>
      <xdr:row>18</xdr:row>
      <xdr:rowOff>44303</xdr:rowOff>
    </xdr:to>
    <xdr:pic>
      <xdr:nvPicPr>
        <xdr:cNvPr id="4712" name="图片 33" descr="狗笼双门_副本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215864" y="8419675"/>
          <a:ext cx="1600531" cy="168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561587</xdr:colOff>
      <xdr:row>102</xdr:row>
      <xdr:rowOff>41533</xdr:rowOff>
    </xdr:from>
    <xdr:to>
      <xdr:col>0</xdr:col>
      <xdr:colOff>1617034</xdr:colOff>
      <xdr:row>103</xdr:row>
      <xdr:rowOff>424506</xdr:rowOff>
    </xdr:to>
    <xdr:pic>
      <xdr:nvPicPr>
        <xdr:cNvPr id="19" name="图片 10" descr="1_副本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>
        <a:xfrm>
          <a:off x="561587" y="50003481"/>
          <a:ext cx="1055447" cy="1047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443797</xdr:colOff>
      <xdr:row>104</xdr:row>
      <xdr:rowOff>71770</xdr:rowOff>
    </xdr:from>
    <xdr:to>
      <xdr:col>0</xdr:col>
      <xdr:colOff>1645005</xdr:colOff>
      <xdr:row>104</xdr:row>
      <xdr:rowOff>963576</xdr:rowOff>
    </xdr:to>
    <xdr:pic>
      <xdr:nvPicPr>
        <xdr:cNvPr id="20" name="图片 10" descr="06DD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>
        <a:xfrm>
          <a:off x="443797" y="51362787"/>
          <a:ext cx="1201208" cy="89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480403</xdr:colOff>
      <xdr:row>106</xdr:row>
      <xdr:rowOff>52919</xdr:rowOff>
    </xdr:from>
    <xdr:to>
      <xdr:col>0</xdr:col>
      <xdr:colOff>1565525</xdr:colOff>
      <xdr:row>106</xdr:row>
      <xdr:rowOff>985727</xdr:rowOff>
    </xdr:to>
    <xdr:pic>
      <xdr:nvPicPr>
        <xdr:cNvPr id="21" name="Picture 8" descr="aa3fc1623ff0a867446229b92007bcb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480403" y="53547977"/>
          <a:ext cx="1085122" cy="932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434108</xdr:colOff>
      <xdr:row>105</xdr:row>
      <xdr:rowOff>99570</xdr:rowOff>
    </xdr:from>
    <xdr:to>
      <xdr:col>0</xdr:col>
      <xdr:colOff>1750990</xdr:colOff>
      <xdr:row>105</xdr:row>
      <xdr:rowOff>952499</xdr:rowOff>
    </xdr:to>
    <xdr:pic>
      <xdr:nvPicPr>
        <xdr:cNvPr id="22" name="Picture 11" descr="产品图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>
        <a:xfrm>
          <a:off x="434108" y="52564599"/>
          <a:ext cx="1316882" cy="85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192564</xdr:colOff>
      <xdr:row>72</xdr:row>
      <xdr:rowOff>417195</xdr:rowOff>
    </xdr:from>
    <xdr:to>
      <xdr:col>0</xdr:col>
      <xdr:colOff>1987709</xdr:colOff>
      <xdr:row>75</xdr:row>
      <xdr:rowOff>234314</xdr:rowOff>
    </xdr:to>
    <xdr:pic>
      <xdr:nvPicPr>
        <xdr:cNvPr id="2" name="图片 608" descr="K`{09QAP4G1KYG9K`Z{EAVV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92405" y="36071175"/>
          <a:ext cx="1795145" cy="1339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471587</xdr:colOff>
      <xdr:row>86</xdr:row>
      <xdr:rowOff>60007</xdr:rowOff>
    </xdr:from>
    <xdr:to>
      <xdr:col>0</xdr:col>
      <xdr:colOff>1659672</xdr:colOff>
      <xdr:row>88</xdr:row>
      <xdr:rowOff>306387</xdr:rowOff>
    </xdr:to>
    <xdr:pic>
      <xdr:nvPicPr>
        <xdr:cNvPr id="3" name="Picture 331" descr="%D592IOAZL`L]})BZEA(F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>
        <a:xfrm>
          <a:off x="471587" y="42047536"/>
          <a:ext cx="1188085" cy="1265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393700</xdr:colOff>
      <xdr:row>92</xdr:row>
      <xdr:rowOff>109220</xdr:rowOff>
    </xdr:from>
    <xdr:to>
      <xdr:col>0</xdr:col>
      <xdr:colOff>1750060</xdr:colOff>
      <xdr:row>94</xdr:row>
      <xdr:rowOff>267335</xdr:rowOff>
    </xdr:to>
    <xdr:pic>
      <xdr:nvPicPr>
        <xdr:cNvPr id="4" name="Picture 358" descr="拉门狗笼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>
        <a:xfrm>
          <a:off x="393700" y="45359955"/>
          <a:ext cx="1356360" cy="1172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232585</xdr:colOff>
      <xdr:row>56</xdr:row>
      <xdr:rowOff>343342</xdr:rowOff>
    </xdr:from>
    <xdr:to>
      <xdr:col>0</xdr:col>
      <xdr:colOff>1869193</xdr:colOff>
      <xdr:row>60</xdr:row>
      <xdr:rowOff>88604</xdr:rowOff>
    </xdr:to>
    <xdr:pic>
      <xdr:nvPicPr>
        <xdr:cNvPr id="23" name="Picture 307" descr="Luxury dog cage one door 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>
        <a:xfrm>
          <a:off x="232410" y="28380055"/>
          <a:ext cx="1636395" cy="177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232587</xdr:colOff>
      <xdr:row>65</xdr:row>
      <xdr:rowOff>44302</xdr:rowOff>
    </xdr:from>
    <xdr:to>
      <xdr:col>0</xdr:col>
      <xdr:colOff>1907164</xdr:colOff>
      <xdr:row>68</xdr:row>
      <xdr:rowOff>243664</xdr:rowOff>
    </xdr:to>
    <xdr:pic>
      <xdr:nvPicPr>
        <xdr:cNvPr id="24" name="Picture 307" descr="Luxury dog cage one door 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>
        <a:xfrm>
          <a:off x="232587" y="32706192"/>
          <a:ext cx="1674577" cy="1727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310117</xdr:colOff>
      <xdr:row>110</xdr:row>
      <xdr:rowOff>232590</xdr:rowOff>
    </xdr:from>
    <xdr:to>
      <xdr:col>0</xdr:col>
      <xdr:colOff>1672414</xdr:colOff>
      <xdr:row>111</xdr:row>
      <xdr:rowOff>517228</xdr:rowOff>
    </xdr:to>
    <xdr:pic>
      <xdr:nvPicPr>
        <xdr:cNvPr id="25" name="图片 24" descr="搜狗截图20180721172126.pn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10117" y="56308259"/>
          <a:ext cx="1362297" cy="882719"/>
        </a:xfrm>
        <a:prstGeom prst="rect">
          <a:avLst/>
        </a:prstGeom>
      </xdr:spPr>
    </xdr:pic>
    <xdr:clientData/>
  </xdr:twoCellAnchor>
  <xdr:twoCellAnchor editAs="oneCell">
    <xdr:from>
      <xdr:col>0</xdr:col>
      <xdr:colOff>199363</xdr:colOff>
      <xdr:row>113</xdr:row>
      <xdr:rowOff>265814</xdr:rowOff>
    </xdr:from>
    <xdr:to>
      <xdr:col>0</xdr:col>
      <xdr:colOff>1661337</xdr:colOff>
      <xdr:row>115</xdr:row>
      <xdr:rowOff>257505</xdr:rowOff>
    </xdr:to>
    <xdr:pic>
      <xdr:nvPicPr>
        <xdr:cNvPr id="26" name="图片 25" descr="WeChat Image_20180721171752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99363" y="58191105"/>
          <a:ext cx="1461974" cy="1187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3"/>
  <sheetViews>
    <sheetView tabSelected="1" topLeftCell="A89" zoomScale="86" zoomScaleNormal="86" workbookViewId="0">
      <selection activeCell="O116" sqref="O116"/>
    </sheetView>
  </sheetViews>
  <sheetFormatPr defaultColWidth="9" defaultRowHeight="13.5" customHeight="1"/>
  <cols>
    <col min="1" max="1" width="27.125" style="3" customWidth="1"/>
    <col min="2" max="2" width="18.375" style="3" customWidth="1"/>
    <col min="3" max="3" width="20.25" style="3" customWidth="1"/>
    <col min="4" max="4" width="15.125" style="3" customWidth="1"/>
    <col min="5" max="5" width="11.75" style="3" customWidth="1"/>
    <col min="6" max="6" width="12.125" style="3" customWidth="1"/>
    <col min="7" max="9" width="10.625" style="4" customWidth="1"/>
    <col min="10" max="10" width="12.625" style="4" customWidth="1"/>
    <col min="11" max="11" width="10.625" style="4" customWidth="1"/>
    <col min="12" max="12" width="10.625" style="3" customWidth="1"/>
    <col min="13" max="13" width="10.625" style="5" customWidth="1"/>
    <col min="14" max="16" width="10.625" style="3" customWidth="1"/>
    <col min="17" max="16384" width="9" style="3"/>
  </cols>
  <sheetData>
    <row r="1" spans="1:13" ht="140.2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3"/>
    </row>
    <row r="2" spans="1:13" ht="37.5" customHeight="1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3"/>
    </row>
    <row r="3" spans="1:13" ht="34.5" customHeight="1">
      <c r="A3" s="59" t="s">
        <v>2</v>
      </c>
      <c r="B3" s="59" t="s">
        <v>3</v>
      </c>
      <c r="C3" s="7" t="s">
        <v>4</v>
      </c>
      <c r="D3" s="1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50" t="s">
        <v>10</v>
      </c>
      <c r="J3" s="50"/>
      <c r="K3" s="50"/>
      <c r="L3" s="7" t="s">
        <v>11</v>
      </c>
      <c r="M3" s="3"/>
    </row>
    <row r="4" spans="1:13" ht="26.25" customHeight="1">
      <c r="A4" s="59"/>
      <c r="B4" s="59"/>
      <c r="C4" s="6" t="s">
        <v>12</v>
      </c>
      <c r="D4" s="6" t="s">
        <v>13</v>
      </c>
      <c r="E4" s="6" t="s">
        <v>13</v>
      </c>
      <c r="F4" s="7" t="s">
        <v>14</v>
      </c>
      <c r="G4" s="8" t="s">
        <v>15</v>
      </c>
      <c r="H4" s="8" t="s">
        <v>15</v>
      </c>
      <c r="I4" s="8" t="s">
        <v>16</v>
      </c>
      <c r="J4" s="8" t="s">
        <v>17</v>
      </c>
      <c r="K4" s="8" t="s">
        <v>18</v>
      </c>
      <c r="L4" s="6" t="s">
        <v>19</v>
      </c>
      <c r="M4" s="3"/>
    </row>
    <row r="5" spans="1:13" ht="42.75" customHeight="1">
      <c r="A5" s="60" t="s">
        <v>20</v>
      </c>
      <c r="B5" s="9" t="s">
        <v>21</v>
      </c>
      <c r="C5" s="10" t="s">
        <v>22</v>
      </c>
      <c r="D5" s="10" t="s">
        <v>23</v>
      </c>
      <c r="E5" s="9">
        <v>26</v>
      </c>
      <c r="F5" s="9">
        <v>1</v>
      </c>
      <c r="G5" s="9">
        <f>ROUND(2.515+0.398+0.043+0.08,2)</f>
        <v>3.04</v>
      </c>
      <c r="H5" s="9">
        <f>G5+0.53</f>
        <v>3.5700000000000003</v>
      </c>
      <c r="I5" s="9">
        <v>52.5</v>
      </c>
      <c r="J5" s="9">
        <v>10</v>
      </c>
      <c r="K5" s="9">
        <v>35</v>
      </c>
      <c r="L5" s="9">
        <f t="shared" ref="L5:L10" si="0">ROUND(I5*J5*K5/1000000,4)</f>
        <v>1.84E-2</v>
      </c>
      <c r="M5" s="3"/>
    </row>
    <row r="6" spans="1:13" ht="42.75" customHeight="1">
      <c r="A6" s="61"/>
      <c r="B6" s="9" t="s">
        <v>24</v>
      </c>
      <c r="C6" s="10" t="s">
        <v>25</v>
      </c>
      <c r="D6" s="10" t="s">
        <v>26</v>
      </c>
      <c r="E6" s="9">
        <v>35</v>
      </c>
      <c r="F6" s="9">
        <v>1</v>
      </c>
      <c r="G6" s="9">
        <f>4.87+0.08</f>
        <v>4.95</v>
      </c>
      <c r="H6" s="9">
        <f>0.77+G6</f>
        <v>5.7200000000000006</v>
      </c>
      <c r="I6" s="9">
        <v>63</v>
      </c>
      <c r="J6" s="9">
        <v>11.5</v>
      </c>
      <c r="K6" s="9">
        <v>46</v>
      </c>
      <c r="L6" s="9">
        <f t="shared" si="0"/>
        <v>3.3300000000000003E-2</v>
      </c>
      <c r="M6" s="3"/>
    </row>
    <row r="7" spans="1:13" ht="43.5" customHeight="1">
      <c r="A7" s="61"/>
      <c r="B7" s="13" t="s">
        <v>27</v>
      </c>
      <c r="C7" s="14" t="s">
        <v>28</v>
      </c>
      <c r="D7" s="14" t="s">
        <v>26</v>
      </c>
      <c r="E7" s="13">
        <v>35</v>
      </c>
      <c r="F7" s="13">
        <v>1</v>
      </c>
      <c r="G7" s="13">
        <f>7.1+0.08</f>
        <v>7.18</v>
      </c>
      <c r="H7" s="13">
        <f>1.05+G7</f>
        <v>8.23</v>
      </c>
      <c r="I7" s="13">
        <v>81</v>
      </c>
      <c r="J7" s="13">
        <v>11.5</v>
      </c>
      <c r="K7" s="13">
        <v>54</v>
      </c>
      <c r="L7" s="13">
        <f t="shared" si="0"/>
        <v>5.0299999999999997E-2</v>
      </c>
      <c r="M7" s="3"/>
    </row>
    <row r="8" spans="1:13" ht="43.5" customHeight="1">
      <c r="A8" s="61"/>
      <c r="B8" s="13" t="s">
        <v>29</v>
      </c>
      <c r="C8" s="14" t="s">
        <v>30</v>
      </c>
      <c r="D8" s="14" t="s">
        <v>26</v>
      </c>
      <c r="E8" s="13">
        <v>35</v>
      </c>
      <c r="F8" s="13">
        <v>1</v>
      </c>
      <c r="G8" s="13">
        <v>8.3699999999999992</v>
      </c>
      <c r="H8" s="13">
        <f>1.17+G8</f>
        <v>9.5399999999999991</v>
      </c>
      <c r="I8" s="13">
        <v>93</v>
      </c>
      <c r="J8" s="13">
        <v>11.5</v>
      </c>
      <c r="K8" s="13">
        <v>61.5</v>
      </c>
      <c r="L8" s="13">
        <f t="shared" si="0"/>
        <v>6.5799999999999997E-2</v>
      </c>
      <c r="M8" s="3"/>
    </row>
    <row r="9" spans="1:13" ht="43.5" customHeight="1">
      <c r="A9" s="61"/>
      <c r="B9" s="13" t="s">
        <v>31</v>
      </c>
      <c r="C9" s="14" t="s">
        <v>32</v>
      </c>
      <c r="D9" s="14" t="s">
        <v>26</v>
      </c>
      <c r="E9" s="13">
        <v>35</v>
      </c>
      <c r="F9" s="13">
        <v>1</v>
      </c>
      <c r="G9" s="13">
        <f>ROUND(10.6+0.08+2.25+0.043,2)</f>
        <v>12.97</v>
      </c>
      <c r="H9" s="13">
        <f>1.77+12.97</f>
        <v>14.74</v>
      </c>
      <c r="I9" s="13">
        <v>110.5</v>
      </c>
      <c r="J9" s="13">
        <v>12</v>
      </c>
      <c r="K9" s="13">
        <v>77</v>
      </c>
      <c r="L9" s="13">
        <f t="shared" si="0"/>
        <v>0.1021</v>
      </c>
      <c r="M9" s="3"/>
    </row>
    <row r="10" spans="1:13" ht="43.5" customHeight="1">
      <c r="A10" s="61"/>
      <c r="B10" s="13" t="s">
        <v>33</v>
      </c>
      <c r="C10" s="14" t="s">
        <v>34</v>
      </c>
      <c r="D10" s="14" t="s">
        <v>26</v>
      </c>
      <c r="E10" s="13">
        <v>35</v>
      </c>
      <c r="F10" s="13">
        <v>1</v>
      </c>
      <c r="G10" s="13">
        <f>ROUND(11.909+2.74+0.043+0.08,2)</f>
        <v>14.77</v>
      </c>
      <c r="H10" s="13">
        <f>G10+2.01</f>
        <v>16.78</v>
      </c>
      <c r="I10" s="13">
        <v>130</v>
      </c>
      <c r="J10" s="13">
        <v>12</v>
      </c>
      <c r="K10" s="13">
        <v>77</v>
      </c>
      <c r="L10" s="13">
        <f t="shared" si="0"/>
        <v>0.1201</v>
      </c>
      <c r="M10" s="3"/>
    </row>
    <row r="11" spans="1:13" ht="12" customHeight="1">
      <c r="A11" s="18"/>
      <c r="B11" s="13"/>
      <c r="C11" s="14"/>
      <c r="D11" s="14"/>
      <c r="E11" s="13"/>
      <c r="F11" s="13"/>
      <c r="G11" s="13"/>
      <c r="H11" s="13"/>
      <c r="I11" s="13"/>
      <c r="J11" s="13"/>
      <c r="K11" s="13"/>
      <c r="L11" s="13"/>
      <c r="M11" s="3"/>
    </row>
    <row r="12" spans="1:13" ht="38.25" customHeight="1">
      <c r="A12" s="59" t="s">
        <v>2</v>
      </c>
      <c r="B12" s="64" t="s">
        <v>3</v>
      </c>
      <c r="C12" s="16" t="s">
        <v>4</v>
      </c>
      <c r="D12" s="16" t="s">
        <v>5</v>
      </c>
      <c r="E12" s="16" t="s">
        <v>6</v>
      </c>
      <c r="F12" s="16" t="s">
        <v>7</v>
      </c>
      <c r="G12" s="16" t="s">
        <v>8</v>
      </c>
      <c r="H12" s="16" t="s">
        <v>9</v>
      </c>
      <c r="I12" s="51" t="s">
        <v>10</v>
      </c>
      <c r="J12" s="51"/>
      <c r="K12" s="51"/>
      <c r="L12" s="16" t="s">
        <v>11</v>
      </c>
      <c r="M12" s="3"/>
    </row>
    <row r="13" spans="1:13" ht="31.5" customHeight="1">
      <c r="A13" s="59"/>
      <c r="B13" s="64"/>
      <c r="C13" s="15" t="s">
        <v>12</v>
      </c>
      <c r="D13" s="15" t="s">
        <v>13</v>
      </c>
      <c r="E13" s="15" t="s">
        <v>13</v>
      </c>
      <c r="F13" s="16" t="s">
        <v>14</v>
      </c>
      <c r="G13" s="17" t="s">
        <v>15</v>
      </c>
      <c r="H13" s="17" t="s">
        <v>15</v>
      </c>
      <c r="I13" s="17" t="s">
        <v>16</v>
      </c>
      <c r="J13" s="17" t="s">
        <v>17</v>
      </c>
      <c r="K13" s="17" t="s">
        <v>18</v>
      </c>
      <c r="L13" s="15" t="s">
        <v>19</v>
      </c>
      <c r="M13" s="3"/>
    </row>
    <row r="14" spans="1:13" ht="40.5" customHeight="1">
      <c r="A14" s="60" t="s">
        <v>35</v>
      </c>
      <c r="B14" s="13" t="s">
        <v>36</v>
      </c>
      <c r="C14" s="14" t="s">
        <v>22</v>
      </c>
      <c r="D14" s="14" t="s">
        <v>23</v>
      </c>
      <c r="E14" s="14">
        <v>26</v>
      </c>
      <c r="F14" s="14">
        <v>1</v>
      </c>
      <c r="G14" s="14">
        <f>ROUND(2.722+0.398+0.043+0.08,2)</f>
        <v>3.24</v>
      </c>
      <c r="H14" s="14">
        <f>0.53+G14</f>
        <v>3.7700000000000005</v>
      </c>
      <c r="I14" s="14">
        <v>52.5</v>
      </c>
      <c r="J14" s="14">
        <v>10</v>
      </c>
      <c r="K14" s="14">
        <v>35</v>
      </c>
      <c r="L14" s="14">
        <f t="shared" ref="L14:L19" si="1">ROUND(I14*J14*K14/1000000,4)</f>
        <v>1.84E-2</v>
      </c>
      <c r="M14" s="3"/>
    </row>
    <row r="15" spans="1:13" ht="40.5" customHeight="1">
      <c r="A15" s="61"/>
      <c r="B15" s="13" t="s">
        <v>37</v>
      </c>
      <c r="C15" s="14" t="s">
        <v>25</v>
      </c>
      <c r="D15" s="14" t="s">
        <v>26</v>
      </c>
      <c r="E15" s="14">
        <v>35</v>
      </c>
      <c r="F15" s="14">
        <v>1</v>
      </c>
      <c r="G15" s="14">
        <f>ROUND(4.512+0.662+0.043+0.08,2)</f>
        <v>5.3</v>
      </c>
      <c r="H15" s="14">
        <f>0.77+G15</f>
        <v>6.07</v>
      </c>
      <c r="I15" s="14">
        <v>63</v>
      </c>
      <c r="J15" s="14">
        <v>11.5</v>
      </c>
      <c r="K15" s="14">
        <v>46</v>
      </c>
      <c r="L15" s="14">
        <f t="shared" si="1"/>
        <v>3.3300000000000003E-2</v>
      </c>
      <c r="M15" s="3"/>
    </row>
    <row r="16" spans="1:13" ht="43.5" customHeight="1">
      <c r="A16" s="61"/>
      <c r="B16" s="13" t="s">
        <v>38</v>
      </c>
      <c r="C16" s="14" t="s">
        <v>28</v>
      </c>
      <c r="D16" s="14" t="s">
        <v>26</v>
      </c>
      <c r="E16" s="14">
        <v>35</v>
      </c>
      <c r="F16" s="14">
        <v>1</v>
      </c>
      <c r="G16" s="14">
        <f>ROUND(6.406+1.05+0.043+0.08,2)</f>
        <v>7.58</v>
      </c>
      <c r="H16" s="14">
        <f>1.05+G16</f>
        <v>8.6300000000000008</v>
      </c>
      <c r="I16" s="14">
        <v>81</v>
      </c>
      <c r="J16" s="14">
        <v>11.5</v>
      </c>
      <c r="K16" s="14">
        <v>54</v>
      </c>
      <c r="L16" s="14">
        <f t="shared" si="1"/>
        <v>5.0299999999999997E-2</v>
      </c>
      <c r="M16" s="3"/>
    </row>
    <row r="17" spans="1:13" ht="43.5" customHeight="1">
      <c r="A17" s="61"/>
      <c r="B17" s="13" t="s">
        <v>39</v>
      </c>
      <c r="C17" s="14" t="s">
        <v>30</v>
      </c>
      <c r="D17" s="14" t="s">
        <v>26</v>
      </c>
      <c r="E17" s="14">
        <v>35</v>
      </c>
      <c r="F17" s="14">
        <v>1</v>
      </c>
      <c r="G17" s="14">
        <f>ROUND(7.425+1.28+0.043+0.08,2)</f>
        <v>8.83</v>
      </c>
      <c r="H17" s="14">
        <f>1.17+G17</f>
        <v>10</v>
      </c>
      <c r="I17" s="14">
        <v>93</v>
      </c>
      <c r="J17" s="14">
        <v>11.5</v>
      </c>
      <c r="K17" s="14">
        <v>61.5</v>
      </c>
      <c r="L17" s="14">
        <f t="shared" si="1"/>
        <v>6.5799999999999997E-2</v>
      </c>
      <c r="M17" s="3"/>
    </row>
    <row r="18" spans="1:13" ht="43.5" customHeight="1">
      <c r="A18" s="61"/>
      <c r="B18" s="13" t="s">
        <v>40</v>
      </c>
      <c r="C18" s="14" t="s">
        <v>32</v>
      </c>
      <c r="D18" s="14" t="s">
        <v>26</v>
      </c>
      <c r="E18" s="14">
        <v>35</v>
      </c>
      <c r="F18" s="14">
        <v>1</v>
      </c>
      <c r="G18" s="14">
        <f>ROUND(11.104+2.25+0.043+0.08,2)</f>
        <v>13.48</v>
      </c>
      <c r="H18" s="14">
        <f>1.77+G18</f>
        <v>15.25</v>
      </c>
      <c r="I18" s="14">
        <v>110.5</v>
      </c>
      <c r="J18" s="14">
        <v>12</v>
      </c>
      <c r="K18" s="14">
        <v>77</v>
      </c>
      <c r="L18" s="14">
        <f t="shared" si="1"/>
        <v>0.1021</v>
      </c>
      <c r="M18" s="3"/>
    </row>
    <row r="19" spans="1:13" ht="43.5" customHeight="1">
      <c r="A19" s="61"/>
      <c r="B19" s="13" t="s">
        <v>41</v>
      </c>
      <c r="C19" s="14" t="s">
        <v>34</v>
      </c>
      <c r="D19" s="14" t="s">
        <v>26</v>
      </c>
      <c r="E19" s="14">
        <v>35</v>
      </c>
      <c r="F19" s="14">
        <v>1</v>
      </c>
      <c r="G19" s="14">
        <f>ROUND(12.526+2.74+0.043+0.08,2)</f>
        <v>15.39</v>
      </c>
      <c r="H19" s="14">
        <f>2.01+G19</f>
        <v>17.399999999999999</v>
      </c>
      <c r="I19" s="14">
        <v>130</v>
      </c>
      <c r="J19" s="14">
        <v>12</v>
      </c>
      <c r="K19" s="14">
        <v>77</v>
      </c>
      <c r="L19" s="14">
        <f t="shared" si="1"/>
        <v>0.1201</v>
      </c>
      <c r="M19" s="3"/>
    </row>
    <row r="20" spans="1:13" ht="37.5" customHeight="1">
      <c r="A20" s="49" t="s">
        <v>42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3"/>
    </row>
    <row r="21" spans="1:13" ht="41.25" customHeight="1">
      <c r="A21" s="59" t="s">
        <v>2</v>
      </c>
      <c r="B21" s="59" t="s">
        <v>3</v>
      </c>
      <c r="C21" s="7" t="s">
        <v>4</v>
      </c>
      <c r="D21" s="7" t="s">
        <v>5</v>
      </c>
      <c r="E21" s="7" t="s">
        <v>6</v>
      </c>
      <c r="F21" s="7" t="s">
        <v>7</v>
      </c>
      <c r="G21" s="7" t="s">
        <v>8</v>
      </c>
      <c r="H21" s="7" t="s">
        <v>9</v>
      </c>
      <c r="I21" s="50" t="s">
        <v>10</v>
      </c>
      <c r="J21" s="50"/>
      <c r="K21" s="50"/>
      <c r="L21" s="7" t="s">
        <v>11</v>
      </c>
      <c r="M21" s="3"/>
    </row>
    <row r="22" spans="1:13" ht="27" customHeight="1">
      <c r="A22" s="59"/>
      <c r="B22" s="59"/>
      <c r="C22" s="6" t="s">
        <v>12</v>
      </c>
      <c r="D22" s="6" t="s">
        <v>13</v>
      </c>
      <c r="E22" s="6" t="s">
        <v>13</v>
      </c>
      <c r="F22" s="7" t="s">
        <v>14</v>
      </c>
      <c r="G22" s="8" t="s">
        <v>15</v>
      </c>
      <c r="H22" s="8" t="s">
        <v>15</v>
      </c>
      <c r="I22" s="8" t="s">
        <v>16</v>
      </c>
      <c r="J22" s="8" t="s">
        <v>17</v>
      </c>
      <c r="K22" s="8" t="s">
        <v>18</v>
      </c>
      <c r="L22" s="6" t="s">
        <v>19</v>
      </c>
      <c r="M22" s="3"/>
    </row>
    <row r="23" spans="1:13" ht="58.5" customHeight="1">
      <c r="A23" s="62" t="s">
        <v>20</v>
      </c>
      <c r="B23" s="13" t="s">
        <v>43</v>
      </c>
      <c r="C23" s="14" t="s">
        <v>25</v>
      </c>
      <c r="D23" s="14" t="s">
        <v>44</v>
      </c>
      <c r="E23" s="13">
        <v>35</v>
      </c>
      <c r="F23" s="13">
        <v>1</v>
      </c>
      <c r="G23" s="13">
        <f>ROUND(3.682+0.662+0.043+0.08,2)</f>
        <v>4.47</v>
      </c>
      <c r="H23" s="13">
        <f>0.77+G23</f>
        <v>5.24</v>
      </c>
      <c r="I23" s="13">
        <v>63</v>
      </c>
      <c r="J23" s="13">
        <v>11.5</v>
      </c>
      <c r="K23" s="13">
        <v>46</v>
      </c>
      <c r="L23" s="13">
        <f>ROUND(I23*J23*K23/1000000,4)</f>
        <v>3.3300000000000003E-2</v>
      </c>
      <c r="M23" s="3"/>
    </row>
    <row r="24" spans="1:13" ht="39.950000000000003" customHeight="1">
      <c r="A24" s="63"/>
      <c r="B24" s="13" t="s">
        <v>45</v>
      </c>
      <c r="C24" s="14" t="s">
        <v>28</v>
      </c>
      <c r="D24" s="14" t="s">
        <v>46</v>
      </c>
      <c r="E24" s="13">
        <v>35</v>
      </c>
      <c r="F24" s="13">
        <v>1</v>
      </c>
      <c r="G24" s="13">
        <f>ROUND(5.26+1.05+0.043+0.08,2)</f>
        <v>6.43</v>
      </c>
      <c r="H24" s="13">
        <f>1.05+G24</f>
        <v>7.4799999999999995</v>
      </c>
      <c r="I24" s="13">
        <v>81</v>
      </c>
      <c r="J24" s="13">
        <v>11.5</v>
      </c>
      <c r="K24" s="13">
        <v>54</v>
      </c>
      <c r="L24" s="13">
        <f>ROUND(I24*J24*K24/1000000,4)</f>
        <v>5.0299999999999997E-2</v>
      </c>
      <c r="M24" s="3"/>
    </row>
    <row r="25" spans="1:13" ht="39.950000000000003" customHeight="1">
      <c r="A25" s="63"/>
      <c r="B25" s="13" t="s">
        <v>47</v>
      </c>
      <c r="C25" s="14" t="s">
        <v>30</v>
      </c>
      <c r="D25" s="14" t="s">
        <v>46</v>
      </c>
      <c r="E25" s="13">
        <v>35</v>
      </c>
      <c r="F25" s="13">
        <v>1</v>
      </c>
      <c r="G25" s="13">
        <f>ROUND(6.083+1.28+0.043+0.08,2)</f>
        <v>7.49</v>
      </c>
      <c r="H25" s="13">
        <f>1.17+G25</f>
        <v>8.66</v>
      </c>
      <c r="I25" s="13">
        <v>93</v>
      </c>
      <c r="J25" s="13">
        <v>11.5</v>
      </c>
      <c r="K25" s="13">
        <v>61.5</v>
      </c>
      <c r="L25" s="13">
        <f>ROUND(I25*J25*K25/1000000,4)</f>
        <v>6.5799999999999997E-2</v>
      </c>
      <c r="M25" s="3"/>
    </row>
    <row r="26" spans="1:13" ht="39.950000000000003" customHeight="1">
      <c r="A26" s="63"/>
      <c r="B26" s="13" t="s">
        <v>48</v>
      </c>
      <c r="C26" s="14" t="s">
        <v>32</v>
      </c>
      <c r="D26" s="14" t="s">
        <v>46</v>
      </c>
      <c r="E26" s="13">
        <v>35</v>
      </c>
      <c r="F26" s="13">
        <v>1</v>
      </c>
      <c r="G26" s="13">
        <f>ROUND(9.174+2.25+0.043+0.08,2)</f>
        <v>11.55</v>
      </c>
      <c r="H26" s="13">
        <f>1.77+G26</f>
        <v>13.32</v>
      </c>
      <c r="I26" s="13">
        <v>110.5</v>
      </c>
      <c r="J26" s="13">
        <v>12</v>
      </c>
      <c r="K26" s="13">
        <v>77</v>
      </c>
      <c r="L26" s="13">
        <f>ROUND(I26*J26*K26/1000000,4)</f>
        <v>0.1021</v>
      </c>
      <c r="M26" s="3"/>
    </row>
    <row r="27" spans="1:13" ht="39.950000000000003" customHeight="1">
      <c r="A27" s="63"/>
      <c r="B27" s="13" t="s">
        <v>49</v>
      </c>
      <c r="C27" s="14" t="s">
        <v>34</v>
      </c>
      <c r="D27" s="14" t="s">
        <v>46</v>
      </c>
      <c r="E27" s="13">
        <v>35</v>
      </c>
      <c r="F27" s="13">
        <v>1</v>
      </c>
      <c r="G27" s="13">
        <f>ROUND(10.299+2.74+0.043+0.08,2)</f>
        <v>13.16</v>
      </c>
      <c r="H27" s="13">
        <f>2.01+G27</f>
        <v>15.17</v>
      </c>
      <c r="I27" s="13">
        <v>130</v>
      </c>
      <c r="J27" s="13">
        <v>12</v>
      </c>
      <c r="K27" s="13">
        <v>77</v>
      </c>
      <c r="L27" s="13">
        <f>ROUND(I27*J27*K27/1000000,4)</f>
        <v>0.1201</v>
      </c>
      <c r="M27" s="3"/>
    </row>
    <row r="28" spans="1:13" ht="14.25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3"/>
    </row>
    <row r="29" spans="1:13" ht="41.25" customHeight="1">
      <c r="A29" s="64" t="s">
        <v>2</v>
      </c>
      <c r="B29" s="64" t="s">
        <v>3</v>
      </c>
      <c r="C29" s="16" t="s">
        <v>4</v>
      </c>
      <c r="D29" s="16" t="s">
        <v>5</v>
      </c>
      <c r="E29" s="16" t="s">
        <v>6</v>
      </c>
      <c r="F29" s="16" t="s">
        <v>7</v>
      </c>
      <c r="G29" s="16" t="s">
        <v>8</v>
      </c>
      <c r="H29" s="16" t="s">
        <v>9</v>
      </c>
      <c r="I29" s="51" t="s">
        <v>10</v>
      </c>
      <c r="J29" s="51"/>
      <c r="K29" s="51"/>
      <c r="L29" s="16" t="s">
        <v>11</v>
      </c>
      <c r="M29" s="3"/>
    </row>
    <row r="30" spans="1:13" ht="28.5" customHeight="1">
      <c r="A30" s="64"/>
      <c r="B30" s="64"/>
      <c r="C30" s="15" t="s">
        <v>12</v>
      </c>
      <c r="D30" s="15" t="s">
        <v>13</v>
      </c>
      <c r="E30" s="15" t="s">
        <v>13</v>
      </c>
      <c r="F30" s="16" t="s">
        <v>14</v>
      </c>
      <c r="G30" s="17" t="s">
        <v>15</v>
      </c>
      <c r="H30" s="17" t="s">
        <v>15</v>
      </c>
      <c r="I30" s="17" t="s">
        <v>16</v>
      </c>
      <c r="J30" s="17" t="s">
        <v>17</v>
      </c>
      <c r="K30" s="17" t="s">
        <v>18</v>
      </c>
      <c r="L30" s="15" t="s">
        <v>19</v>
      </c>
      <c r="M30" s="3"/>
    </row>
    <row r="31" spans="1:13" ht="44.25" customHeight="1">
      <c r="A31" s="62" t="s">
        <v>35</v>
      </c>
      <c r="B31" s="13" t="s">
        <v>50</v>
      </c>
      <c r="C31" s="14" t="s">
        <v>133</v>
      </c>
      <c r="D31" s="14" t="s">
        <v>51</v>
      </c>
      <c r="E31" s="14">
        <v>35</v>
      </c>
      <c r="F31" s="14">
        <v>1</v>
      </c>
      <c r="G31" s="14">
        <f>ROUND(4.001+0.662+0.043+0.08,2)</f>
        <v>4.79</v>
      </c>
      <c r="H31" s="14">
        <f>0.77+G31</f>
        <v>5.5600000000000005</v>
      </c>
      <c r="I31" s="14">
        <v>63</v>
      </c>
      <c r="J31" s="14">
        <v>11.5</v>
      </c>
      <c r="K31" s="14">
        <v>46</v>
      </c>
      <c r="L31" s="14">
        <f>ROUND(I31*J31*K31/1000000,4)</f>
        <v>3.3300000000000003E-2</v>
      </c>
      <c r="M31" s="3"/>
    </row>
    <row r="32" spans="1:13" ht="44.25" customHeight="1">
      <c r="A32" s="63"/>
      <c r="B32" s="13" t="s">
        <v>52</v>
      </c>
      <c r="C32" s="14" t="s">
        <v>28</v>
      </c>
      <c r="D32" s="14" t="s">
        <v>46</v>
      </c>
      <c r="E32" s="14">
        <v>35</v>
      </c>
      <c r="F32" s="14">
        <v>1</v>
      </c>
      <c r="G32" s="14">
        <f>ROUND(5.622+1.06+0.043+0.08,2)</f>
        <v>6.81</v>
      </c>
      <c r="H32" s="14">
        <f>1.05+G32</f>
        <v>7.8599999999999994</v>
      </c>
      <c r="I32" s="14">
        <v>81</v>
      </c>
      <c r="J32" s="14">
        <v>11.5</v>
      </c>
      <c r="K32" s="14">
        <v>54</v>
      </c>
      <c r="L32" s="14">
        <f>ROUND(I32*J32*K32/1000000,4)</f>
        <v>5.0299999999999997E-2</v>
      </c>
      <c r="M32" s="3"/>
    </row>
    <row r="33" spans="1:13" ht="42" customHeight="1">
      <c r="A33" s="63"/>
      <c r="B33" s="13" t="s">
        <v>53</v>
      </c>
      <c r="C33" s="14" t="s">
        <v>30</v>
      </c>
      <c r="D33" s="14" t="s">
        <v>46</v>
      </c>
      <c r="E33" s="14">
        <v>35</v>
      </c>
      <c r="F33" s="14">
        <v>1</v>
      </c>
      <c r="G33" s="14">
        <f>ROUND(6.494+1.28+0.043+0.08,2)</f>
        <v>7.9</v>
      </c>
      <c r="H33" s="14">
        <f>1.17+G33</f>
        <v>9.07</v>
      </c>
      <c r="I33" s="14">
        <v>93</v>
      </c>
      <c r="J33" s="14">
        <v>11.5</v>
      </c>
      <c r="K33" s="14">
        <v>61.5</v>
      </c>
      <c r="L33" s="14">
        <f>ROUND(I33*J33*K33/1000000,4)</f>
        <v>6.5799999999999997E-2</v>
      </c>
      <c r="M33" s="3"/>
    </row>
    <row r="34" spans="1:13" ht="42" customHeight="1">
      <c r="A34" s="63"/>
      <c r="B34" s="13" t="s">
        <v>54</v>
      </c>
      <c r="C34" s="14" t="s">
        <v>32</v>
      </c>
      <c r="D34" s="14" t="s">
        <v>46</v>
      </c>
      <c r="E34" s="14">
        <v>35</v>
      </c>
      <c r="F34" s="14">
        <v>1</v>
      </c>
      <c r="G34" s="14">
        <f>ROUND(9.631+2.25+0.043+0.08,2)</f>
        <v>12</v>
      </c>
      <c r="H34" s="14">
        <f>1.77+G34</f>
        <v>13.77</v>
      </c>
      <c r="I34" s="14">
        <v>110.5</v>
      </c>
      <c r="J34" s="14">
        <v>12</v>
      </c>
      <c r="K34" s="14">
        <v>77</v>
      </c>
      <c r="L34" s="14">
        <f>ROUND(I34*J34*K34/1000000,4)</f>
        <v>0.1021</v>
      </c>
      <c r="M34" s="3"/>
    </row>
    <row r="35" spans="1:13" ht="42" customHeight="1">
      <c r="A35" s="63"/>
      <c r="B35" s="13" t="s">
        <v>55</v>
      </c>
      <c r="C35" s="14" t="s">
        <v>34</v>
      </c>
      <c r="D35" s="14" t="s">
        <v>46</v>
      </c>
      <c r="E35" s="14">
        <v>35</v>
      </c>
      <c r="F35" s="14">
        <v>1</v>
      </c>
      <c r="G35" s="14">
        <f>ROUND(10.863+2.74+0.043+0.08,2)</f>
        <v>13.73</v>
      </c>
      <c r="H35" s="14">
        <f>2.01+G35</f>
        <v>15.74</v>
      </c>
      <c r="I35" s="14">
        <v>130</v>
      </c>
      <c r="J35" s="14">
        <v>12</v>
      </c>
      <c r="K35" s="14">
        <v>77</v>
      </c>
      <c r="L35" s="14">
        <f>ROUND(I35*J35*K35/1000000,4)</f>
        <v>0.1201</v>
      </c>
      <c r="M35" s="3"/>
    </row>
    <row r="36" spans="1:13" ht="45" customHeight="1">
      <c r="A36" s="49" t="s">
        <v>56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3"/>
    </row>
    <row r="37" spans="1:13" ht="37.5" customHeight="1">
      <c r="A37" s="59" t="s">
        <v>2</v>
      </c>
      <c r="B37" s="59" t="s">
        <v>3</v>
      </c>
      <c r="C37" s="7" t="s">
        <v>4</v>
      </c>
      <c r="D37" s="7" t="s">
        <v>5</v>
      </c>
      <c r="E37" s="7" t="s">
        <v>6</v>
      </c>
      <c r="F37" s="7" t="s">
        <v>7</v>
      </c>
      <c r="G37" s="7" t="s">
        <v>8</v>
      </c>
      <c r="H37" s="7" t="s">
        <v>9</v>
      </c>
      <c r="I37" s="53" t="s">
        <v>10</v>
      </c>
      <c r="J37" s="53"/>
      <c r="K37" s="53"/>
      <c r="L37" s="7" t="s">
        <v>11</v>
      </c>
      <c r="M37" s="3"/>
    </row>
    <row r="38" spans="1:13" ht="26.25" customHeight="1">
      <c r="A38" s="59"/>
      <c r="B38" s="59"/>
      <c r="C38" s="6" t="s">
        <v>12</v>
      </c>
      <c r="D38" s="6" t="s">
        <v>13</v>
      </c>
      <c r="E38" s="6" t="s">
        <v>13</v>
      </c>
      <c r="F38" s="7" t="s">
        <v>14</v>
      </c>
      <c r="G38" s="8" t="s">
        <v>15</v>
      </c>
      <c r="H38" s="8" t="s">
        <v>15</v>
      </c>
      <c r="I38" s="8" t="s">
        <v>16</v>
      </c>
      <c r="J38" s="8" t="s">
        <v>17</v>
      </c>
      <c r="K38" s="8" t="s">
        <v>18</v>
      </c>
      <c r="L38" s="6" t="s">
        <v>19</v>
      </c>
      <c r="M38" s="3"/>
    </row>
    <row r="39" spans="1:13" ht="43.5" customHeight="1">
      <c r="A39" s="60" t="s">
        <v>20</v>
      </c>
      <c r="B39" s="9" t="s">
        <v>57</v>
      </c>
      <c r="C39" s="10" t="s">
        <v>22</v>
      </c>
      <c r="D39" s="10" t="s">
        <v>58</v>
      </c>
      <c r="E39" s="9">
        <v>26</v>
      </c>
      <c r="F39" s="9">
        <v>1</v>
      </c>
      <c r="G39" s="9">
        <f>ROUND(2.244+0.398+0.043+0.08,2)</f>
        <v>2.77</v>
      </c>
      <c r="H39" s="9">
        <f>0.53+G39</f>
        <v>3.3</v>
      </c>
      <c r="I39" s="9">
        <v>52.5</v>
      </c>
      <c r="J39" s="9">
        <v>10</v>
      </c>
      <c r="K39" s="9">
        <v>35</v>
      </c>
      <c r="L39" s="9">
        <f t="shared" ref="L39:L44" si="2">ROUND(I39*J39*K39/1000000,4)</f>
        <v>1.84E-2</v>
      </c>
      <c r="M39" s="3"/>
    </row>
    <row r="40" spans="1:13" ht="39.950000000000003" customHeight="1">
      <c r="A40" s="61"/>
      <c r="B40" s="9" t="s">
        <v>59</v>
      </c>
      <c r="C40" s="10" t="s">
        <v>25</v>
      </c>
      <c r="D40" s="10" t="s">
        <v>60</v>
      </c>
      <c r="E40" s="9">
        <v>35</v>
      </c>
      <c r="F40" s="9">
        <v>1</v>
      </c>
      <c r="G40" s="9">
        <f>ROUND(3.334+0.662+0.043+0.08,2)</f>
        <v>4.12</v>
      </c>
      <c r="H40" s="9">
        <f>0.77+G40</f>
        <v>4.8900000000000006</v>
      </c>
      <c r="I40" s="9">
        <v>63</v>
      </c>
      <c r="J40" s="9">
        <v>11.5</v>
      </c>
      <c r="K40" s="9">
        <v>46</v>
      </c>
      <c r="L40" s="9">
        <f t="shared" si="2"/>
        <v>3.3300000000000003E-2</v>
      </c>
      <c r="M40" s="3"/>
    </row>
    <row r="41" spans="1:13" ht="39.950000000000003" customHeight="1">
      <c r="A41" s="61"/>
      <c r="B41" s="9" t="s">
        <v>61</v>
      </c>
      <c r="C41" s="10" t="s">
        <v>28</v>
      </c>
      <c r="D41" s="10" t="s">
        <v>60</v>
      </c>
      <c r="E41" s="9">
        <v>35</v>
      </c>
      <c r="F41" s="9">
        <v>1</v>
      </c>
      <c r="G41" s="9">
        <f>4.667+1.05+0.043+0.08</f>
        <v>5.84</v>
      </c>
      <c r="H41" s="9">
        <f>1.05+G41</f>
        <v>6.89</v>
      </c>
      <c r="I41" s="9">
        <v>81</v>
      </c>
      <c r="J41" s="9">
        <v>11.5</v>
      </c>
      <c r="K41" s="9">
        <v>54</v>
      </c>
      <c r="L41" s="9">
        <f t="shared" si="2"/>
        <v>5.0299999999999997E-2</v>
      </c>
      <c r="M41" s="3"/>
    </row>
    <row r="42" spans="1:13" ht="43.5" customHeight="1">
      <c r="A42" s="61"/>
      <c r="B42" s="9" t="s">
        <v>62</v>
      </c>
      <c r="C42" s="10" t="s">
        <v>30</v>
      </c>
      <c r="D42" s="10" t="s">
        <v>60</v>
      </c>
      <c r="E42" s="9">
        <v>35</v>
      </c>
      <c r="F42" s="9">
        <v>1</v>
      </c>
      <c r="G42" s="9">
        <f>ROUND(5.439+1.28+0.043+0.08,2)</f>
        <v>6.84</v>
      </c>
      <c r="H42" s="9">
        <f>1.17+G42</f>
        <v>8.01</v>
      </c>
      <c r="I42" s="9">
        <v>93</v>
      </c>
      <c r="J42" s="9">
        <v>11.5</v>
      </c>
      <c r="K42" s="9">
        <v>61.5</v>
      </c>
      <c r="L42" s="9">
        <f t="shared" si="2"/>
        <v>6.5799999999999997E-2</v>
      </c>
      <c r="M42" s="3"/>
    </row>
    <row r="43" spans="1:13" ht="43.5" customHeight="1">
      <c r="A43" s="61"/>
      <c r="B43" s="9" t="s">
        <v>63</v>
      </c>
      <c r="C43" s="10" t="s">
        <v>32</v>
      </c>
      <c r="D43" s="10" t="s">
        <v>60</v>
      </c>
      <c r="E43" s="9">
        <v>35</v>
      </c>
      <c r="F43" s="9">
        <v>1</v>
      </c>
      <c r="G43" s="9">
        <f>ROUND(8.016+2.25+0.043+0.08,2)</f>
        <v>10.39</v>
      </c>
      <c r="H43" s="9">
        <f>1.77+G43</f>
        <v>12.16</v>
      </c>
      <c r="I43" s="9">
        <v>110.5</v>
      </c>
      <c r="J43" s="9">
        <v>12</v>
      </c>
      <c r="K43" s="9">
        <v>77</v>
      </c>
      <c r="L43" s="9">
        <f t="shared" si="2"/>
        <v>0.1021</v>
      </c>
      <c r="M43" s="3"/>
    </row>
    <row r="44" spans="1:13" ht="43.5" customHeight="1">
      <c r="A44" s="61"/>
      <c r="B44" s="9" t="s">
        <v>64</v>
      </c>
      <c r="C44" s="10" t="s">
        <v>34</v>
      </c>
      <c r="D44" s="10" t="s">
        <v>60</v>
      </c>
      <c r="E44" s="9">
        <v>35</v>
      </c>
      <c r="F44" s="9">
        <v>1</v>
      </c>
      <c r="G44" s="9">
        <f>ROUND(8.994+2.74+0.043+0.08,2)</f>
        <v>11.86</v>
      </c>
      <c r="H44" s="9">
        <f>2.01+G44</f>
        <v>13.87</v>
      </c>
      <c r="I44" s="9">
        <v>130</v>
      </c>
      <c r="J44" s="9">
        <v>12</v>
      </c>
      <c r="K44" s="9">
        <v>77</v>
      </c>
      <c r="L44" s="9">
        <f t="shared" si="2"/>
        <v>0.1201</v>
      </c>
      <c r="M44" s="3"/>
    </row>
    <row r="45" spans="1:13" ht="11.2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3"/>
    </row>
    <row r="46" spans="1:13" ht="40.5" customHeight="1">
      <c r="A46" s="59" t="s">
        <v>2</v>
      </c>
      <c r="B46" s="59" t="s">
        <v>3</v>
      </c>
      <c r="C46" s="7" t="s">
        <v>4</v>
      </c>
      <c r="D46" s="7" t="s">
        <v>5</v>
      </c>
      <c r="E46" s="7" t="s">
        <v>6</v>
      </c>
      <c r="F46" s="7" t="s">
        <v>7</v>
      </c>
      <c r="G46" s="7" t="s">
        <v>8</v>
      </c>
      <c r="H46" s="7" t="s">
        <v>9</v>
      </c>
      <c r="I46" s="53" t="s">
        <v>10</v>
      </c>
      <c r="J46" s="53"/>
      <c r="K46" s="53"/>
      <c r="L46" s="7" t="s">
        <v>11</v>
      </c>
      <c r="M46" s="3"/>
    </row>
    <row r="47" spans="1:13" ht="27" customHeight="1">
      <c r="A47" s="59"/>
      <c r="B47" s="59"/>
      <c r="C47" s="6" t="s">
        <v>12</v>
      </c>
      <c r="D47" s="6" t="s">
        <v>13</v>
      </c>
      <c r="E47" s="6" t="s">
        <v>13</v>
      </c>
      <c r="F47" s="7" t="s">
        <v>14</v>
      </c>
      <c r="G47" s="8" t="s">
        <v>15</v>
      </c>
      <c r="H47" s="8" t="s">
        <v>15</v>
      </c>
      <c r="I47" s="8" t="s">
        <v>16</v>
      </c>
      <c r="J47" s="8" t="s">
        <v>17</v>
      </c>
      <c r="K47" s="8" t="s">
        <v>18</v>
      </c>
      <c r="L47" s="6" t="s">
        <v>19</v>
      </c>
      <c r="M47" s="3"/>
    </row>
    <row r="48" spans="1:13" ht="39.950000000000003" customHeight="1">
      <c r="A48" s="60" t="s">
        <v>35</v>
      </c>
      <c r="B48" s="9" t="s">
        <v>65</v>
      </c>
      <c r="C48" s="10" t="s">
        <v>22</v>
      </c>
      <c r="D48" s="10" t="s">
        <v>66</v>
      </c>
      <c r="E48" s="10">
        <v>26</v>
      </c>
      <c r="F48" s="10">
        <v>1</v>
      </c>
      <c r="G48" s="10">
        <f>ROUND(2.413+0.398+0.043+0.08,2)</f>
        <v>2.93</v>
      </c>
      <c r="H48" s="10">
        <f>0.53+G48</f>
        <v>3.46</v>
      </c>
      <c r="I48" s="10">
        <v>52.5</v>
      </c>
      <c r="J48" s="10">
        <v>10</v>
      </c>
      <c r="K48" s="10">
        <v>35</v>
      </c>
      <c r="L48" s="10">
        <f t="shared" ref="L48:L53" si="3">ROUND(I48*J48*K48/1000000,4)</f>
        <v>1.84E-2</v>
      </c>
      <c r="M48" s="3"/>
    </row>
    <row r="49" spans="1:13" ht="39.950000000000003" customHeight="1">
      <c r="A49" s="61"/>
      <c r="B49" s="9" t="s">
        <v>67</v>
      </c>
      <c r="C49" s="10" t="s">
        <v>25</v>
      </c>
      <c r="D49" s="10" t="s">
        <v>60</v>
      </c>
      <c r="E49" s="10">
        <v>35</v>
      </c>
      <c r="F49" s="10">
        <v>1</v>
      </c>
      <c r="G49" s="10">
        <f>ROUND(3.618+0.662+0.043+0.08,2)</f>
        <v>4.4000000000000004</v>
      </c>
      <c r="H49" s="10">
        <f>0.77+G49</f>
        <v>5.17</v>
      </c>
      <c r="I49" s="10">
        <v>63</v>
      </c>
      <c r="J49" s="10">
        <v>11.5</v>
      </c>
      <c r="K49" s="10">
        <v>46</v>
      </c>
      <c r="L49" s="10">
        <f t="shared" si="3"/>
        <v>3.3300000000000003E-2</v>
      </c>
      <c r="M49" s="3"/>
    </row>
    <row r="50" spans="1:13" ht="39.950000000000003" customHeight="1">
      <c r="A50" s="61"/>
      <c r="B50" s="9" t="s">
        <v>68</v>
      </c>
      <c r="C50" s="10" t="s">
        <v>28</v>
      </c>
      <c r="D50" s="10" t="s">
        <v>60</v>
      </c>
      <c r="E50" s="10">
        <v>35</v>
      </c>
      <c r="F50" s="10">
        <v>1</v>
      </c>
      <c r="G50" s="10">
        <f>ROUND(4.984+1.05+0.043+0.08,2)</f>
        <v>6.16</v>
      </c>
      <c r="H50" s="10">
        <f>1.05+G50</f>
        <v>7.21</v>
      </c>
      <c r="I50" s="10">
        <v>81</v>
      </c>
      <c r="J50" s="10">
        <v>11.5</v>
      </c>
      <c r="K50" s="10">
        <v>54</v>
      </c>
      <c r="L50" s="10">
        <f t="shared" si="3"/>
        <v>5.0299999999999997E-2</v>
      </c>
      <c r="M50" s="3"/>
    </row>
    <row r="51" spans="1:13" ht="39.950000000000003" customHeight="1">
      <c r="A51" s="61"/>
      <c r="B51" s="9" t="s">
        <v>69</v>
      </c>
      <c r="C51" s="10" t="s">
        <v>30</v>
      </c>
      <c r="D51" s="10" t="s">
        <v>60</v>
      </c>
      <c r="E51" s="10">
        <v>35</v>
      </c>
      <c r="F51" s="10">
        <v>1</v>
      </c>
      <c r="G51" s="10">
        <f>ROUND(5.825+1.28+0.043+0.08,2)</f>
        <v>7.23</v>
      </c>
      <c r="H51" s="10">
        <f>1.17+G51</f>
        <v>8.4</v>
      </c>
      <c r="I51" s="10">
        <v>93</v>
      </c>
      <c r="J51" s="10">
        <v>11.5</v>
      </c>
      <c r="K51" s="10">
        <v>61.5</v>
      </c>
      <c r="L51" s="10">
        <f t="shared" si="3"/>
        <v>6.5799999999999997E-2</v>
      </c>
      <c r="M51" s="3"/>
    </row>
    <row r="52" spans="1:13" ht="39.950000000000003" customHeight="1">
      <c r="A52" s="61"/>
      <c r="B52" s="9" t="s">
        <v>70</v>
      </c>
      <c r="C52" s="10" t="s">
        <v>32</v>
      </c>
      <c r="D52" s="10" t="s">
        <v>60</v>
      </c>
      <c r="E52" s="10">
        <v>35</v>
      </c>
      <c r="F52" s="10">
        <v>1</v>
      </c>
      <c r="G52" s="10">
        <f>ROUND(8.362+2.25+0.043+0.08,2)</f>
        <v>10.74</v>
      </c>
      <c r="H52" s="10">
        <f>1.77+G52</f>
        <v>12.51</v>
      </c>
      <c r="I52" s="10">
        <v>110.5</v>
      </c>
      <c r="J52" s="10">
        <v>12</v>
      </c>
      <c r="K52" s="10">
        <v>77</v>
      </c>
      <c r="L52" s="10">
        <f t="shared" si="3"/>
        <v>0.1021</v>
      </c>
      <c r="M52" s="3"/>
    </row>
    <row r="53" spans="1:13" ht="39.950000000000003" customHeight="1">
      <c r="A53" s="61"/>
      <c r="B53" s="9" t="s">
        <v>71</v>
      </c>
      <c r="C53" s="10" t="s">
        <v>34</v>
      </c>
      <c r="D53" s="10" t="s">
        <v>60</v>
      </c>
      <c r="E53" s="10">
        <v>35</v>
      </c>
      <c r="F53" s="10">
        <v>1</v>
      </c>
      <c r="G53" s="10">
        <f>ROUND(9.488+2.74+0.043+0.08,2)</f>
        <v>12.35</v>
      </c>
      <c r="H53" s="10">
        <f>2.01+G53</f>
        <v>14.36</v>
      </c>
      <c r="I53" s="10">
        <v>130</v>
      </c>
      <c r="J53" s="10">
        <v>12</v>
      </c>
      <c r="K53" s="10">
        <v>77</v>
      </c>
      <c r="L53" s="10">
        <f t="shared" si="3"/>
        <v>0.1201</v>
      </c>
      <c r="M53" s="3"/>
    </row>
    <row r="54" spans="1:13" s="1" customFormat="1" ht="37.5" customHeight="1">
      <c r="A54" s="49" t="s">
        <v>72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19"/>
    </row>
    <row r="55" spans="1:13" s="1" customFormat="1" ht="30" customHeight="1">
      <c r="A55" s="57" t="s">
        <v>2</v>
      </c>
      <c r="B55" s="57" t="s">
        <v>3</v>
      </c>
      <c r="C55" s="22" t="s">
        <v>4</v>
      </c>
      <c r="D55" s="22" t="s">
        <v>5</v>
      </c>
      <c r="E55" s="22" t="s">
        <v>6</v>
      </c>
      <c r="F55" s="22" t="s">
        <v>7</v>
      </c>
      <c r="G55" s="22" t="s">
        <v>8</v>
      </c>
      <c r="H55" s="22" t="s">
        <v>9</v>
      </c>
      <c r="I55" s="55" t="s">
        <v>10</v>
      </c>
      <c r="J55" s="55"/>
      <c r="K55" s="55"/>
      <c r="L55" s="22" t="s">
        <v>11</v>
      </c>
    </row>
    <row r="56" spans="1:13" s="1" customFormat="1" ht="24.75" customHeight="1">
      <c r="A56" s="57"/>
      <c r="B56" s="57"/>
      <c r="C56" s="23" t="s">
        <v>12</v>
      </c>
      <c r="D56" s="23" t="s">
        <v>13</v>
      </c>
      <c r="E56" s="23" t="s">
        <v>13</v>
      </c>
      <c r="F56" s="22" t="s">
        <v>14</v>
      </c>
      <c r="G56" s="24" t="s">
        <v>15</v>
      </c>
      <c r="H56" s="24" t="s">
        <v>15</v>
      </c>
      <c r="I56" s="24" t="s">
        <v>16</v>
      </c>
      <c r="J56" s="24" t="s">
        <v>17</v>
      </c>
      <c r="K56" s="24" t="s">
        <v>18</v>
      </c>
      <c r="L56" s="23" t="s">
        <v>19</v>
      </c>
      <c r="M56" s="11"/>
    </row>
    <row r="57" spans="1:13" s="1" customFormat="1" ht="39.950000000000003" customHeight="1">
      <c r="A57" s="65"/>
      <c r="B57" s="25" t="s">
        <v>73</v>
      </c>
      <c r="C57" s="25" t="s">
        <v>74</v>
      </c>
      <c r="D57" s="25" t="s">
        <v>75</v>
      </c>
      <c r="E57" s="25">
        <v>27</v>
      </c>
      <c r="F57" s="25">
        <v>1</v>
      </c>
      <c r="G57" s="25">
        <f>ROUND(5.793+0.662+0.043+0.08,2)</f>
        <v>6.58</v>
      </c>
      <c r="H57" s="25">
        <f>0.88+G57</f>
        <v>7.46</v>
      </c>
      <c r="I57" s="25">
        <v>63.5</v>
      </c>
      <c r="J57" s="25">
        <v>14.5</v>
      </c>
      <c r="K57" s="25">
        <v>47</v>
      </c>
      <c r="L57" s="25">
        <f t="shared" ref="L57:L61" si="4">ROUND(I57*J57*K57/1000000,4)</f>
        <v>4.3299999999999998E-2</v>
      </c>
      <c r="M57" s="11"/>
    </row>
    <row r="58" spans="1:13" s="1" customFormat="1" ht="39.950000000000003" customHeight="1">
      <c r="A58" s="65"/>
      <c r="B58" s="25" t="s">
        <v>76</v>
      </c>
      <c r="C58" s="25" t="s">
        <v>28</v>
      </c>
      <c r="D58" s="25" t="s">
        <v>77</v>
      </c>
      <c r="E58" s="25">
        <v>27</v>
      </c>
      <c r="F58" s="25">
        <v>1</v>
      </c>
      <c r="G58" s="25">
        <f>ROUND(7.748+1.05+0.043+0.08,2)</f>
        <v>8.92</v>
      </c>
      <c r="H58" s="25">
        <f>1.1+G58</f>
        <v>10.02</v>
      </c>
      <c r="I58" s="25">
        <v>82</v>
      </c>
      <c r="J58" s="25">
        <v>12</v>
      </c>
      <c r="K58" s="25">
        <v>56</v>
      </c>
      <c r="L58" s="25">
        <f t="shared" si="4"/>
        <v>5.5100000000000003E-2</v>
      </c>
      <c r="M58" s="11"/>
    </row>
    <row r="59" spans="1:13" s="1" customFormat="1" ht="39.950000000000003" customHeight="1">
      <c r="A59" s="65"/>
      <c r="B59" s="25" t="s">
        <v>78</v>
      </c>
      <c r="C59" s="25" t="s">
        <v>79</v>
      </c>
      <c r="D59" s="25" t="s">
        <v>77</v>
      </c>
      <c r="E59" s="25">
        <v>27</v>
      </c>
      <c r="F59" s="25">
        <v>1</v>
      </c>
      <c r="G59" s="25">
        <f>ROUND(9.738+1.28+0.043+0.08,2)</f>
        <v>11.14</v>
      </c>
      <c r="H59" s="25">
        <f>1.34+G59</f>
        <v>12.48</v>
      </c>
      <c r="I59" s="25">
        <v>94</v>
      </c>
      <c r="J59" s="25">
        <v>12</v>
      </c>
      <c r="K59" s="25">
        <v>63</v>
      </c>
      <c r="L59" s="25">
        <f t="shared" si="4"/>
        <v>7.1099999999999997E-2</v>
      </c>
    </row>
    <row r="60" spans="1:13" s="1" customFormat="1" ht="39.950000000000003" customHeight="1">
      <c r="A60" s="65"/>
      <c r="B60" s="25" t="s">
        <v>80</v>
      </c>
      <c r="C60" s="25" t="s">
        <v>32</v>
      </c>
      <c r="D60" s="25" t="s">
        <v>77</v>
      </c>
      <c r="E60" s="25">
        <v>27</v>
      </c>
      <c r="F60" s="25">
        <v>1</v>
      </c>
      <c r="G60" s="25">
        <f>ROUND(13.695+2.25+0.043+0.08,2)</f>
        <v>16.07</v>
      </c>
      <c r="H60" s="25">
        <f>1.85+G60</f>
        <v>17.920000000000002</v>
      </c>
      <c r="I60" s="25">
        <v>112</v>
      </c>
      <c r="J60" s="25">
        <v>13</v>
      </c>
      <c r="K60" s="25">
        <v>78</v>
      </c>
      <c r="L60" s="25">
        <f t="shared" si="4"/>
        <v>0.11360000000000001</v>
      </c>
    </row>
    <row r="61" spans="1:13" s="1" customFormat="1" ht="39.950000000000003" customHeight="1">
      <c r="A61" s="65"/>
      <c r="B61" s="25" t="s">
        <v>81</v>
      </c>
      <c r="C61" s="25" t="s">
        <v>82</v>
      </c>
      <c r="D61" s="25" t="s">
        <v>77</v>
      </c>
      <c r="E61" s="25">
        <v>27</v>
      </c>
      <c r="F61" s="25">
        <v>1</v>
      </c>
      <c r="G61" s="25">
        <f>ROUND(15.121+2.74+0.043+0.08,2)</f>
        <v>17.98</v>
      </c>
      <c r="H61" s="25">
        <f>2.16+G61</f>
        <v>20.14</v>
      </c>
      <c r="I61" s="25">
        <v>129</v>
      </c>
      <c r="J61" s="25">
        <v>14</v>
      </c>
      <c r="K61" s="25">
        <v>79</v>
      </c>
      <c r="L61" s="25">
        <f t="shared" si="4"/>
        <v>0.14269999999999999</v>
      </c>
    </row>
    <row r="62" spans="1:13" s="1" customFormat="1" ht="39" customHeight="1">
      <c r="A62" s="56" t="s">
        <v>83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</row>
    <row r="63" spans="1:13" s="1" customFormat="1" ht="30" customHeight="1">
      <c r="A63" s="57" t="s">
        <v>2</v>
      </c>
      <c r="B63" s="57" t="s">
        <v>3</v>
      </c>
      <c r="C63" s="22" t="s">
        <v>4</v>
      </c>
      <c r="D63" s="22" t="s">
        <v>5</v>
      </c>
      <c r="E63" s="22" t="s">
        <v>6</v>
      </c>
      <c r="F63" s="22" t="s">
        <v>7</v>
      </c>
      <c r="G63" s="22" t="s">
        <v>8</v>
      </c>
      <c r="H63" s="22" t="s">
        <v>9</v>
      </c>
      <c r="I63" s="55" t="s">
        <v>10</v>
      </c>
      <c r="J63" s="55"/>
      <c r="K63" s="55"/>
      <c r="L63" s="22" t="s">
        <v>11</v>
      </c>
    </row>
    <row r="64" spans="1:13" s="1" customFormat="1" ht="30" customHeight="1">
      <c r="A64" s="57"/>
      <c r="B64" s="57"/>
      <c r="C64" s="23" t="s">
        <v>12</v>
      </c>
      <c r="D64" s="23" t="s">
        <v>13</v>
      </c>
      <c r="E64" s="23" t="s">
        <v>13</v>
      </c>
      <c r="F64" s="22" t="s">
        <v>14</v>
      </c>
      <c r="G64" s="24" t="s">
        <v>15</v>
      </c>
      <c r="H64" s="24" t="s">
        <v>15</v>
      </c>
      <c r="I64" s="24" t="s">
        <v>16</v>
      </c>
      <c r="J64" s="24" t="s">
        <v>17</v>
      </c>
      <c r="K64" s="24" t="s">
        <v>18</v>
      </c>
      <c r="L64" s="23" t="s">
        <v>19</v>
      </c>
      <c r="M64" s="11"/>
    </row>
    <row r="65" spans="1:13" s="1" customFormat="1" ht="39.950000000000003" customHeight="1">
      <c r="A65" s="58"/>
      <c r="B65" s="25" t="s">
        <v>84</v>
      </c>
      <c r="C65" s="25" t="s">
        <v>74</v>
      </c>
      <c r="D65" s="25" t="s">
        <v>85</v>
      </c>
      <c r="E65" s="25">
        <v>26</v>
      </c>
      <c r="F65" s="25">
        <v>1</v>
      </c>
      <c r="G65" s="25">
        <f>ROUND(7.237+0.662+0.043+0.08,2)</f>
        <v>8.02</v>
      </c>
      <c r="H65" s="25">
        <f>0.88+G65</f>
        <v>8.9</v>
      </c>
      <c r="I65" s="25">
        <v>63.5</v>
      </c>
      <c r="J65" s="25">
        <v>14.5</v>
      </c>
      <c r="K65" s="25">
        <v>47</v>
      </c>
      <c r="L65" s="25">
        <f t="shared" ref="L65:L69" si="5">ROUND(I65*J65*K65/1000000,4)</f>
        <v>4.3299999999999998E-2</v>
      </c>
      <c r="M65" s="11"/>
    </row>
    <row r="66" spans="1:13" s="1" customFormat="1" ht="39.950000000000003" customHeight="1">
      <c r="A66" s="58"/>
      <c r="B66" s="25" t="s">
        <v>86</v>
      </c>
      <c r="C66" s="25" t="s">
        <v>28</v>
      </c>
      <c r="D66" s="25" t="s">
        <v>87</v>
      </c>
      <c r="E66" s="25">
        <v>26</v>
      </c>
      <c r="F66" s="25">
        <v>1</v>
      </c>
      <c r="G66" s="25">
        <f>ROUND(9.889+1.05+0.043+0.08,2)</f>
        <v>11.06</v>
      </c>
      <c r="H66" s="25">
        <f>1.1+G66</f>
        <v>12.16</v>
      </c>
      <c r="I66" s="25">
        <v>82</v>
      </c>
      <c r="J66" s="25">
        <v>12</v>
      </c>
      <c r="K66" s="25">
        <v>56</v>
      </c>
      <c r="L66" s="25">
        <f t="shared" si="5"/>
        <v>5.5100000000000003E-2</v>
      </c>
      <c r="M66" s="11"/>
    </row>
    <row r="67" spans="1:13" s="1" customFormat="1" ht="39.950000000000003" customHeight="1">
      <c r="A67" s="58"/>
      <c r="B67" s="25" t="s">
        <v>88</v>
      </c>
      <c r="C67" s="25" t="s">
        <v>79</v>
      </c>
      <c r="D67" s="25" t="s">
        <v>87</v>
      </c>
      <c r="E67" s="25">
        <v>26</v>
      </c>
      <c r="F67" s="25">
        <v>1</v>
      </c>
      <c r="G67" s="25">
        <f>ROUND(12.505+1.28+0.043+0.08,2)</f>
        <v>13.91</v>
      </c>
      <c r="H67" s="25">
        <f>1.34+G67</f>
        <v>15.25</v>
      </c>
      <c r="I67" s="25">
        <v>94</v>
      </c>
      <c r="J67" s="25">
        <v>12</v>
      </c>
      <c r="K67" s="25">
        <v>63</v>
      </c>
      <c r="L67" s="25">
        <f t="shared" si="5"/>
        <v>7.1099999999999997E-2</v>
      </c>
    </row>
    <row r="68" spans="1:13" s="1" customFormat="1" ht="39.950000000000003" customHeight="1">
      <c r="A68" s="58"/>
      <c r="B68" s="25" t="s">
        <v>89</v>
      </c>
      <c r="C68" s="25" t="s">
        <v>32</v>
      </c>
      <c r="D68" s="25" t="s">
        <v>87</v>
      </c>
      <c r="E68" s="25">
        <v>26</v>
      </c>
      <c r="F68" s="25">
        <v>1</v>
      </c>
      <c r="G68" s="25">
        <f>ROUND(17.88+2.25+0.043+0.08,2)</f>
        <v>20.25</v>
      </c>
      <c r="H68" s="25">
        <f>1.85+G68</f>
        <v>22.1</v>
      </c>
      <c r="I68" s="25">
        <v>112</v>
      </c>
      <c r="J68" s="25">
        <v>13</v>
      </c>
      <c r="K68" s="25">
        <v>78</v>
      </c>
      <c r="L68" s="25">
        <f t="shared" si="5"/>
        <v>0.11360000000000001</v>
      </c>
    </row>
    <row r="69" spans="1:13" s="1" customFormat="1" ht="39.950000000000003" customHeight="1">
      <c r="A69" s="58"/>
      <c r="B69" s="25" t="s">
        <v>90</v>
      </c>
      <c r="C69" s="25" t="s">
        <v>82</v>
      </c>
      <c r="D69" s="25" t="s">
        <v>87</v>
      </c>
      <c r="E69" s="25">
        <v>26</v>
      </c>
      <c r="F69" s="25">
        <v>1</v>
      </c>
      <c r="G69" s="25">
        <f>ROUND(19.735+2.74+0.043+0.08,2)</f>
        <v>22.6</v>
      </c>
      <c r="H69" s="25">
        <f>2.16+G69</f>
        <v>24.76</v>
      </c>
      <c r="I69" s="25">
        <v>129</v>
      </c>
      <c r="J69" s="25">
        <v>14</v>
      </c>
      <c r="K69" s="25">
        <v>79</v>
      </c>
      <c r="L69" s="25">
        <f t="shared" si="5"/>
        <v>0.14269999999999999</v>
      </c>
    </row>
    <row r="70" spans="1:13" s="1" customFormat="1" ht="41.25" customHeight="1">
      <c r="A70" s="56" t="s">
        <v>91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</row>
    <row r="71" spans="1:13" s="1" customFormat="1" ht="30" customHeight="1">
      <c r="A71" s="57" t="s">
        <v>2</v>
      </c>
      <c r="B71" s="57" t="s">
        <v>3</v>
      </c>
      <c r="C71" s="22" t="s">
        <v>4</v>
      </c>
      <c r="D71" s="22" t="s">
        <v>5</v>
      </c>
      <c r="E71" s="22" t="s">
        <v>6</v>
      </c>
      <c r="F71" s="22" t="s">
        <v>7</v>
      </c>
      <c r="G71" s="22" t="s">
        <v>8</v>
      </c>
      <c r="H71" s="22" t="s">
        <v>9</v>
      </c>
      <c r="I71" s="55" t="s">
        <v>10</v>
      </c>
      <c r="J71" s="55"/>
      <c r="K71" s="55"/>
      <c r="L71" s="22" t="s">
        <v>11</v>
      </c>
    </row>
    <row r="72" spans="1:13" s="1" customFormat="1" ht="30" customHeight="1">
      <c r="A72" s="57"/>
      <c r="B72" s="57"/>
      <c r="C72" s="23" t="s">
        <v>12</v>
      </c>
      <c r="D72" s="23" t="s">
        <v>13</v>
      </c>
      <c r="E72" s="23" t="s">
        <v>13</v>
      </c>
      <c r="F72" s="22" t="s">
        <v>14</v>
      </c>
      <c r="G72" s="24" t="s">
        <v>15</v>
      </c>
      <c r="H72" s="24" t="s">
        <v>15</v>
      </c>
      <c r="I72" s="24" t="s">
        <v>16</v>
      </c>
      <c r="J72" s="24" t="s">
        <v>17</v>
      </c>
      <c r="K72" s="24" t="s">
        <v>18</v>
      </c>
      <c r="L72" s="23" t="s">
        <v>19</v>
      </c>
      <c r="M72" s="11"/>
    </row>
    <row r="73" spans="1:13" s="1" customFormat="1" ht="39.950000000000003" customHeight="1">
      <c r="A73" s="58"/>
      <c r="B73" s="25" t="s">
        <v>139</v>
      </c>
      <c r="C73" s="25" t="s">
        <v>28</v>
      </c>
      <c r="D73" s="25" t="s">
        <v>85</v>
      </c>
      <c r="E73" s="25">
        <v>35</v>
      </c>
      <c r="F73" s="25">
        <v>1</v>
      </c>
      <c r="G73" s="25">
        <f>ROUND(9.896+1.05+0.043+0.1+0.3,2)</f>
        <v>11.39</v>
      </c>
      <c r="H73" s="25">
        <f>1.1+G73</f>
        <v>12.49</v>
      </c>
      <c r="I73" s="25">
        <v>82</v>
      </c>
      <c r="J73" s="25">
        <v>12</v>
      </c>
      <c r="K73" s="25">
        <v>56</v>
      </c>
      <c r="L73" s="25">
        <f t="shared" ref="L73:L76" si="6">ROUND(I73*J73*K73/1000000,4)</f>
        <v>5.5100000000000003E-2</v>
      </c>
      <c r="M73" s="11"/>
    </row>
    <row r="74" spans="1:13" s="1" customFormat="1" ht="39.950000000000003" customHeight="1">
      <c r="A74" s="58"/>
      <c r="B74" s="25" t="s">
        <v>140</v>
      </c>
      <c r="C74" s="25" t="s">
        <v>79</v>
      </c>
      <c r="D74" s="25" t="s">
        <v>87</v>
      </c>
      <c r="E74" s="25">
        <v>35</v>
      </c>
      <c r="F74" s="25">
        <v>1</v>
      </c>
      <c r="G74" s="25">
        <f>ROUND(11.959+0.3+1.28+0.043+0.1,2)</f>
        <v>13.68</v>
      </c>
      <c r="H74" s="25">
        <f>1.34+G74</f>
        <v>15.02</v>
      </c>
      <c r="I74" s="25">
        <v>94</v>
      </c>
      <c r="J74" s="25">
        <v>12</v>
      </c>
      <c r="K74" s="25">
        <v>63</v>
      </c>
      <c r="L74" s="25">
        <f t="shared" si="6"/>
        <v>7.1099999999999997E-2</v>
      </c>
    </row>
    <row r="75" spans="1:13" s="1" customFormat="1" ht="39.950000000000003" customHeight="1">
      <c r="A75" s="58"/>
      <c r="B75" s="25" t="s">
        <v>141</v>
      </c>
      <c r="C75" s="25" t="s">
        <v>32</v>
      </c>
      <c r="D75" s="25" t="s">
        <v>87</v>
      </c>
      <c r="E75" s="25">
        <v>35</v>
      </c>
      <c r="F75" s="25">
        <v>1</v>
      </c>
      <c r="G75" s="25">
        <f>ROUND(17.052+0.4+2.25+0.043+0.1,2)</f>
        <v>19.850000000000001</v>
      </c>
      <c r="H75" s="25">
        <f>1.85+G75</f>
        <v>21.700000000000003</v>
      </c>
      <c r="I75" s="25">
        <v>112</v>
      </c>
      <c r="J75" s="25">
        <v>13</v>
      </c>
      <c r="K75" s="25">
        <v>78</v>
      </c>
      <c r="L75" s="25">
        <f t="shared" si="6"/>
        <v>0.11360000000000001</v>
      </c>
    </row>
    <row r="76" spans="1:13" s="1" customFormat="1" ht="39.950000000000003" customHeight="1">
      <c r="A76" s="58"/>
      <c r="B76" s="25" t="s">
        <v>142</v>
      </c>
      <c r="C76" s="25" t="s">
        <v>82</v>
      </c>
      <c r="D76" s="25" t="s">
        <v>87</v>
      </c>
      <c r="E76" s="25">
        <v>35</v>
      </c>
      <c r="F76" s="25">
        <v>1</v>
      </c>
      <c r="G76" s="25">
        <f>ROUND(18.885+0.4+2.74+0.043+0.1,2)</f>
        <v>22.17</v>
      </c>
      <c r="H76" s="25">
        <f>2.16+G76</f>
        <v>24.330000000000002</v>
      </c>
      <c r="I76" s="25">
        <v>129</v>
      </c>
      <c r="J76" s="25">
        <v>14</v>
      </c>
      <c r="K76" s="25">
        <v>79</v>
      </c>
      <c r="L76" s="25">
        <f t="shared" si="6"/>
        <v>0.14269999999999999</v>
      </c>
    </row>
    <row r="77" spans="1:13" s="1" customFormat="1" ht="40.5" customHeight="1">
      <c r="A77" s="56" t="s">
        <v>92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1" t="s">
        <v>93</v>
      </c>
    </row>
    <row r="78" spans="1:13" s="1" customFormat="1" ht="30" customHeight="1">
      <c r="A78" s="57" t="s">
        <v>2</v>
      </c>
      <c r="B78" s="57" t="s">
        <v>3</v>
      </c>
      <c r="C78" s="22" t="s">
        <v>4</v>
      </c>
      <c r="D78" s="22" t="s">
        <v>5</v>
      </c>
      <c r="E78" s="22" t="s">
        <v>6</v>
      </c>
      <c r="F78" s="22" t="s">
        <v>7</v>
      </c>
      <c r="G78" s="22" t="s">
        <v>8</v>
      </c>
      <c r="H78" s="22" t="s">
        <v>9</v>
      </c>
      <c r="I78" s="55" t="s">
        <v>10</v>
      </c>
      <c r="J78" s="55"/>
      <c r="K78" s="55"/>
      <c r="L78" s="22" t="s">
        <v>11</v>
      </c>
    </row>
    <row r="79" spans="1:13" s="1" customFormat="1" ht="24.75" customHeight="1">
      <c r="A79" s="57"/>
      <c r="B79" s="57"/>
      <c r="C79" s="23" t="s">
        <v>12</v>
      </c>
      <c r="D79" s="23" t="s">
        <v>13</v>
      </c>
      <c r="E79" s="23" t="s">
        <v>13</v>
      </c>
      <c r="F79" s="22" t="s">
        <v>14</v>
      </c>
      <c r="G79" s="24" t="s">
        <v>15</v>
      </c>
      <c r="H79" s="24" t="s">
        <v>15</v>
      </c>
      <c r="I79" s="24" t="s">
        <v>16</v>
      </c>
      <c r="J79" s="24" t="s">
        <v>17</v>
      </c>
      <c r="K79" s="24" t="s">
        <v>18</v>
      </c>
      <c r="L79" s="23" t="s">
        <v>19</v>
      </c>
    </row>
    <row r="80" spans="1:13" s="1" customFormat="1" ht="39.950000000000003" customHeight="1">
      <c r="A80" s="66" t="s">
        <v>35</v>
      </c>
      <c r="B80" s="26" t="s">
        <v>143</v>
      </c>
      <c r="C80" s="26" t="s">
        <v>25</v>
      </c>
      <c r="D80" s="26" t="s">
        <v>44</v>
      </c>
      <c r="E80" s="26">
        <v>35</v>
      </c>
      <c r="F80" s="26">
        <v>1</v>
      </c>
      <c r="G80" s="25">
        <f>ROUND(3.431+0.662+0.043+0.08,2)</f>
        <v>4.22</v>
      </c>
      <c r="H80" s="25">
        <f>0.77+G80</f>
        <v>4.99</v>
      </c>
      <c r="I80" s="25">
        <v>63</v>
      </c>
      <c r="J80" s="25">
        <v>11.5</v>
      </c>
      <c r="K80" s="25">
        <v>46</v>
      </c>
      <c r="L80" s="25">
        <f t="shared" ref="L80:L83" si="7">ROUND(I80*J80*K80/1000000,4)</f>
        <v>3.3300000000000003E-2</v>
      </c>
    </row>
    <row r="81" spans="1:13" ht="39.950000000000003" customHeight="1">
      <c r="A81" s="66"/>
      <c r="B81" s="26" t="s">
        <v>144</v>
      </c>
      <c r="C81" s="26" t="s">
        <v>28</v>
      </c>
      <c r="D81" s="26" t="s">
        <v>94</v>
      </c>
      <c r="E81" s="26">
        <v>35</v>
      </c>
      <c r="F81" s="26">
        <v>1</v>
      </c>
      <c r="G81" s="25">
        <f>ROUND(4.762+1.05+0.043+0.08,2)</f>
        <v>5.94</v>
      </c>
      <c r="H81" s="25">
        <f>1.05+G81</f>
        <v>6.99</v>
      </c>
      <c r="I81" s="25">
        <v>81</v>
      </c>
      <c r="J81" s="25">
        <v>11.5</v>
      </c>
      <c r="K81" s="25">
        <v>54</v>
      </c>
      <c r="L81" s="25">
        <f t="shared" si="7"/>
        <v>5.0299999999999997E-2</v>
      </c>
      <c r="M81" s="3"/>
    </row>
    <row r="82" spans="1:13" ht="39.950000000000003" customHeight="1">
      <c r="A82" s="66"/>
      <c r="B82" s="26" t="s">
        <v>145</v>
      </c>
      <c r="C82" s="26" t="s">
        <v>30</v>
      </c>
      <c r="D82" s="26" t="s">
        <v>94</v>
      </c>
      <c r="E82" s="26">
        <v>35</v>
      </c>
      <c r="F82" s="26">
        <v>1</v>
      </c>
      <c r="G82" s="25">
        <f>ROUND(5.636+1.28+0.043+0.08,2)</f>
        <v>7.04</v>
      </c>
      <c r="H82" s="25">
        <f>1.17+G82</f>
        <v>8.2100000000000009</v>
      </c>
      <c r="I82" s="25">
        <v>93</v>
      </c>
      <c r="J82" s="25">
        <v>11.5</v>
      </c>
      <c r="K82" s="25">
        <v>61.5</v>
      </c>
      <c r="L82" s="25">
        <f t="shared" si="7"/>
        <v>6.5799999999999997E-2</v>
      </c>
      <c r="M82" s="3"/>
    </row>
    <row r="83" spans="1:13" ht="39.950000000000003" customHeight="1">
      <c r="A83" s="66"/>
      <c r="B83" s="26" t="s">
        <v>146</v>
      </c>
      <c r="C83" s="26" t="s">
        <v>32</v>
      </c>
      <c r="D83" s="26" t="s">
        <v>94</v>
      </c>
      <c r="E83" s="26">
        <v>35</v>
      </c>
      <c r="F83" s="26">
        <v>1</v>
      </c>
      <c r="G83" s="25">
        <f>ROUND(8.438+2.25+0.043+0.08,2)</f>
        <v>10.81</v>
      </c>
      <c r="H83" s="25">
        <f>1.77+G83</f>
        <v>12.58</v>
      </c>
      <c r="I83" s="25">
        <v>110.5</v>
      </c>
      <c r="J83" s="25">
        <v>12</v>
      </c>
      <c r="K83" s="25">
        <v>77</v>
      </c>
      <c r="L83" s="25">
        <f t="shared" si="7"/>
        <v>0.1021</v>
      </c>
      <c r="M83" s="3"/>
    </row>
    <row r="84" spans="1:13" ht="38.25" customHeight="1">
      <c r="A84" s="56" t="s">
        <v>95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3"/>
    </row>
    <row r="85" spans="1:13" ht="30" customHeight="1">
      <c r="A85" s="57" t="s">
        <v>2</v>
      </c>
      <c r="B85" s="57" t="s">
        <v>3</v>
      </c>
      <c r="C85" s="22" t="s">
        <v>4</v>
      </c>
      <c r="D85" s="22" t="s">
        <v>5</v>
      </c>
      <c r="E85" s="22" t="s">
        <v>6</v>
      </c>
      <c r="F85" s="22" t="s">
        <v>7</v>
      </c>
      <c r="G85" s="22" t="s">
        <v>8</v>
      </c>
      <c r="H85" s="22" t="s">
        <v>9</v>
      </c>
      <c r="I85" s="55" t="s">
        <v>10</v>
      </c>
      <c r="J85" s="55"/>
      <c r="K85" s="55"/>
      <c r="L85" s="22" t="s">
        <v>11</v>
      </c>
      <c r="M85" s="3"/>
    </row>
    <row r="86" spans="1:13" ht="25.5" customHeight="1">
      <c r="A86" s="57"/>
      <c r="B86" s="57"/>
      <c r="C86" s="23" t="s">
        <v>12</v>
      </c>
      <c r="D86" s="23" t="s">
        <v>13</v>
      </c>
      <c r="E86" s="23" t="s">
        <v>13</v>
      </c>
      <c r="F86" s="22" t="s">
        <v>14</v>
      </c>
      <c r="G86" s="24" t="s">
        <v>15</v>
      </c>
      <c r="H86" s="24" t="s">
        <v>15</v>
      </c>
      <c r="I86" s="24" t="s">
        <v>16</v>
      </c>
      <c r="J86" s="24" t="s">
        <v>17</v>
      </c>
      <c r="K86" s="24" t="s">
        <v>18</v>
      </c>
      <c r="L86" s="23" t="s">
        <v>19</v>
      </c>
      <c r="M86" s="3"/>
    </row>
    <row r="87" spans="1:13" ht="39.950000000000003" customHeight="1">
      <c r="A87" s="58" t="s">
        <v>35</v>
      </c>
      <c r="B87" s="27" t="s">
        <v>147</v>
      </c>
      <c r="C87" s="26" t="s">
        <v>96</v>
      </c>
      <c r="D87" s="26" t="s">
        <v>97</v>
      </c>
      <c r="E87" s="26">
        <v>35</v>
      </c>
      <c r="F87" s="26">
        <v>1</v>
      </c>
      <c r="G87" s="25">
        <f>ROUND(3.858+0.662+0.043+0.08,2)</f>
        <v>4.6399999999999997</v>
      </c>
      <c r="H87" s="25">
        <f>0.77+G87</f>
        <v>5.41</v>
      </c>
      <c r="I87" s="25">
        <v>63</v>
      </c>
      <c r="J87" s="25">
        <v>11.5</v>
      </c>
      <c r="K87" s="25">
        <v>46</v>
      </c>
      <c r="L87" s="25">
        <f t="shared" ref="L87:L89" si="8">ROUND(I87*J87*K87/1000000,4)</f>
        <v>3.3300000000000003E-2</v>
      </c>
      <c r="M87" s="3"/>
    </row>
    <row r="88" spans="1:13" ht="39.950000000000003" customHeight="1">
      <c r="A88" s="58"/>
      <c r="B88" s="27" t="s">
        <v>148</v>
      </c>
      <c r="C88" s="26" t="s">
        <v>98</v>
      </c>
      <c r="D88" s="26" t="s">
        <v>26</v>
      </c>
      <c r="E88" s="26">
        <v>35</v>
      </c>
      <c r="F88" s="26">
        <v>1</v>
      </c>
      <c r="G88" s="25">
        <f>ROUND(5.525+1.05+0.043+0.08,2)</f>
        <v>6.7</v>
      </c>
      <c r="H88" s="25">
        <f>1.05+G88</f>
        <v>7.75</v>
      </c>
      <c r="I88" s="25">
        <v>81</v>
      </c>
      <c r="J88" s="25">
        <v>11.5</v>
      </c>
      <c r="K88" s="25">
        <v>54</v>
      </c>
      <c r="L88" s="25">
        <f t="shared" si="8"/>
        <v>5.0299999999999997E-2</v>
      </c>
      <c r="M88" s="3"/>
    </row>
    <row r="89" spans="1:13" ht="39.950000000000003" customHeight="1">
      <c r="A89" s="58"/>
      <c r="B89" s="27" t="s">
        <v>149</v>
      </c>
      <c r="C89" s="26" t="s">
        <v>99</v>
      </c>
      <c r="D89" s="26" t="s">
        <v>26</v>
      </c>
      <c r="E89" s="26">
        <v>35</v>
      </c>
      <c r="F89" s="26">
        <v>1</v>
      </c>
      <c r="G89" s="25">
        <f>ROUND(6.256+1.28+0.043+0.08,2)</f>
        <v>7.66</v>
      </c>
      <c r="H89" s="25">
        <f>1.17+G89</f>
        <v>8.83</v>
      </c>
      <c r="I89" s="25">
        <v>93</v>
      </c>
      <c r="J89" s="25">
        <v>11.5</v>
      </c>
      <c r="K89" s="25">
        <v>61.5</v>
      </c>
      <c r="L89" s="25">
        <f t="shared" si="8"/>
        <v>6.5799999999999997E-2</v>
      </c>
      <c r="M89" s="3"/>
    </row>
    <row r="90" spans="1:13" ht="38.25" customHeight="1">
      <c r="A90" s="56" t="s">
        <v>100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3"/>
    </row>
    <row r="91" spans="1:13" ht="32.1" customHeight="1">
      <c r="A91" s="57" t="s">
        <v>2</v>
      </c>
      <c r="B91" s="57" t="s">
        <v>3</v>
      </c>
      <c r="C91" s="22" t="s">
        <v>4</v>
      </c>
      <c r="D91" s="22" t="s">
        <v>5</v>
      </c>
      <c r="E91" s="22" t="s">
        <v>6</v>
      </c>
      <c r="F91" s="22" t="s">
        <v>7</v>
      </c>
      <c r="G91" s="22" t="s">
        <v>8</v>
      </c>
      <c r="H91" s="22" t="s">
        <v>9</v>
      </c>
      <c r="I91" s="55" t="s">
        <v>10</v>
      </c>
      <c r="J91" s="55"/>
      <c r="K91" s="55"/>
      <c r="L91" s="22" t="s">
        <v>11</v>
      </c>
      <c r="M91" s="3"/>
    </row>
    <row r="92" spans="1:13" ht="32.1" customHeight="1">
      <c r="A92" s="57"/>
      <c r="B92" s="57"/>
      <c r="C92" s="23" t="s">
        <v>12</v>
      </c>
      <c r="D92" s="23" t="s">
        <v>13</v>
      </c>
      <c r="E92" s="23" t="s">
        <v>13</v>
      </c>
      <c r="F92" s="22" t="s">
        <v>14</v>
      </c>
      <c r="G92" s="24" t="s">
        <v>15</v>
      </c>
      <c r="H92" s="24" t="s">
        <v>15</v>
      </c>
      <c r="I92" s="24" t="s">
        <v>16</v>
      </c>
      <c r="J92" s="24" t="s">
        <v>17</v>
      </c>
      <c r="K92" s="24" t="s">
        <v>18</v>
      </c>
      <c r="L92" s="23" t="s">
        <v>19</v>
      </c>
      <c r="M92" s="3"/>
    </row>
    <row r="93" spans="1:13" ht="39.950000000000003" customHeight="1">
      <c r="A93" s="58"/>
      <c r="B93" s="25" t="s">
        <v>101</v>
      </c>
      <c r="C93" s="25" t="s">
        <v>28</v>
      </c>
      <c r="D93" s="25" t="s">
        <v>97</v>
      </c>
      <c r="E93" s="25">
        <v>35</v>
      </c>
      <c r="F93" s="25">
        <v>1</v>
      </c>
      <c r="G93" s="25">
        <f>ROUND(6.089+1.05+0.043+0.08,2)</f>
        <v>7.26</v>
      </c>
      <c r="H93" s="25">
        <f>1.05+G93</f>
        <v>8.31</v>
      </c>
      <c r="I93" s="25">
        <v>81</v>
      </c>
      <c r="J93" s="25">
        <v>11.5</v>
      </c>
      <c r="K93" s="25">
        <v>54</v>
      </c>
      <c r="L93" s="25">
        <f t="shared" ref="L93:L95" si="9">ROUND(I93*J93*K93/1000000,4)</f>
        <v>5.0299999999999997E-2</v>
      </c>
      <c r="M93" s="3"/>
    </row>
    <row r="94" spans="1:13" ht="39.950000000000003" customHeight="1">
      <c r="A94" s="58"/>
      <c r="B94" s="25" t="s">
        <v>102</v>
      </c>
      <c r="C94" s="25" t="s">
        <v>79</v>
      </c>
      <c r="D94" s="25" t="s">
        <v>26</v>
      </c>
      <c r="E94" s="25">
        <v>35</v>
      </c>
      <c r="F94" s="25">
        <v>1</v>
      </c>
      <c r="G94" s="25">
        <f>ROUND(7.008+1.28+0.043+0.08,2)</f>
        <v>8.41</v>
      </c>
      <c r="H94" s="25">
        <f>1.17+G94</f>
        <v>9.58</v>
      </c>
      <c r="I94" s="25">
        <v>93</v>
      </c>
      <c r="J94" s="25">
        <v>11.5</v>
      </c>
      <c r="K94" s="25">
        <v>61.5</v>
      </c>
      <c r="L94" s="25">
        <f t="shared" si="9"/>
        <v>6.5799999999999997E-2</v>
      </c>
      <c r="M94" s="3"/>
    </row>
    <row r="95" spans="1:13" ht="39.75" customHeight="1">
      <c r="A95" s="58"/>
      <c r="B95" s="25" t="s">
        <v>103</v>
      </c>
      <c r="C95" s="25" t="s">
        <v>32</v>
      </c>
      <c r="D95" s="25" t="s">
        <v>26</v>
      </c>
      <c r="E95" s="25">
        <v>35</v>
      </c>
      <c r="F95" s="25">
        <v>1</v>
      </c>
      <c r="G95" s="25">
        <f>ROUND(10.74+2.25+0.043+0.08,2)</f>
        <v>13.11</v>
      </c>
      <c r="H95" s="25">
        <f>1.77+G95</f>
        <v>14.879999999999999</v>
      </c>
      <c r="I95" s="25">
        <v>110.5</v>
      </c>
      <c r="J95" s="25">
        <v>12</v>
      </c>
      <c r="K95" s="25">
        <v>77</v>
      </c>
      <c r="L95" s="25">
        <f t="shared" si="9"/>
        <v>0.1021</v>
      </c>
      <c r="M95" s="3"/>
    </row>
    <row r="96" spans="1:13" ht="39" customHeight="1">
      <c r="A96" s="56" t="s">
        <v>104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3"/>
    </row>
    <row r="97" spans="1:13" ht="27.75" customHeight="1">
      <c r="A97" s="57" t="s">
        <v>2</v>
      </c>
      <c r="B97" s="57" t="s">
        <v>3</v>
      </c>
      <c r="C97" s="22" t="s">
        <v>4</v>
      </c>
      <c r="D97" s="22" t="s">
        <v>5</v>
      </c>
      <c r="E97" s="22" t="s">
        <v>6</v>
      </c>
      <c r="F97" s="22" t="s">
        <v>7</v>
      </c>
      <c r="G97" s="22" t="s">
        <v>8</v>
      </c>
      <c r="H97" s="22" t="s">
        <v>9</v>
      </c>
      <c r="I97" s="55" t="s">
        <v>10</v>
      </c>
      <c r="J97" s="55"/>
      <c r="K97" s="55"/>
      <c r="L97" s="22" t="s">
        <v>11</v>
      </c>
      <c r="M97" s="3"/>
    </row>
    <row r="98" spans="1:13" ht="27" customHeight="1">
      <c r="A98" s="57"/>
      <c r="B98" s="57"/>
      <c r="C98" s="23" t="s">
        <v>12</v>
      </c>
      <c r="D98" s="23" t="s">
        <v>13</v>
      </c>
      <c r="E98" s="23" t="s">
        <v>13</v>
      </c>
      <c r="F98" s="22" t="s">
        <v>14</v>
      </c>
      <c r="G98" s="24" t="s">
        <v>15</v>
      </c>
      <c r="H98" s="24" t="s">
        <v>15</v>
      </c>
      <c r="I98" s="24" t="s">
        <v>16</v>
      </c>
      <c r="J98" s="24" t="s">
        <v>17</v>
      </c>
      <c r="K98" s="24" t="s">
        <v>18</v>
      </c>
      <c r="L98" s="23" t="s">
        <v>19</v>
      </c>
      <c r="M98" s="3"/>
    </row>
    <row r="99" spans="1:13" s="2" customFormat="1" ht="73.5" customHeight="1">
      <c r="A99" s="28"/>
      <c r="B99" s="29" t="s">
        <v>105</v>
      </c>
      <c r="C99" s="25" t="s">
        <v>106</v>
      </c>
      <c r="D99" s="25" t="s">
        <v>107</v>
      </c>
      <c r="E99" s="25">
        <v>26</v>
      </c>
      <c r="F99" s="25">
        <v>1</v>
      </c>
      <c r="G99" s="25">
        <v>3.12</v>
      </c>
      <c r="H99" s="25">
        <v>3.72</v>
      </c>
      <c r="I99" s="25">
        <v>53</v>
      </c>
      <c r="J99" s="25">
        <v>11</v>
      </c>
      <c r="K99" s="25">
        <v>37</v>
      </c>
      <c r="L99" s="30">
        <f>K99*J99*I99/1000000</f>
        <v>2.1571E-2</v>
      </c>
    </row>
    <row r="100" spans="1:13" ht="36" customHeight="1">
      <c r="A100" s="56" t="s">
        <v>108</v>
      </c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3"/>
    </row>
    <row r="101" spans="1:13" ht="34.5" customHeight="1">
      <c r="A101" s="57" t="s">
        <v>2</v>
      </c>
      <c r="B101" s="57" t="s">
        <v>3</v>
      </c>
      <c r="C101" s="22" t="s">
        <v>4</v>
      </c>
      <c r="D101" s="22" t="s">
        <v>8</v>
      </c>
      <c r="E101" s="22" t="s">
        <v>9</v>
      </c>
      <c r="F101" s="55" t="s">
        <v>10</v>
      </c>
      <c r="G101" s="55"/>
      <c r="H101" s="55"/>
      <c r="I101" s="22" t="s">
        <v>11</v>
      </c>
      <c r="J101" s="22" t="s">
        <v>109</v>
      </c>
      <c r="K101" s="31"/>
      <c r="L101" s="31"/>
      <c r="M101" s="3"/>
    </row>
    <row r="102" spans="1:13" ht="27" customHeight="1">
      <c r="A102" s="57"/>
      <c r="B102" s="57"/>
      <c r="C102" s="23" t="s">
        <v>12</v>
      </c>
      <c r="D102" s="24" t="s">
        <v>15</v>
      </c>
      <c r="E102" s="24" t="s">
        <v>15</v>
      </c>
      <c r="F102" s="24" t="s">
        <v>16</v>
      </c>
      <c r="G102" s="24" t="s">
        <v>17</v>
      </c>
      <c r="H102" s="24" t="s">
        <v>18</v>
      </c>
      <c r="I102" s="23" t="s">
        <v>19</v>
      </c>
      <c r="J102" s="32"/>
      <c r="K102" s="31"/>
      <c r="L102" s="31"/>
      <c r="M102" s="3"/>
    </row>
    <row r="103" spans="1:13" ht="52.5" customHeight="1">
      <c r="A103" s="67" t="s">
        <v>110</v>
      </c>
      <c r="B103" s="25" t="s">
        <v>111</v>
      </c>
      <c r="C103" s="25" t="s">
        <v>112</v>
      </c>
      <c r="D103" s="25">
        <v>9.8000000000000007</v>
      </c>
      <c r="E103" s="25">
        <v>12.8</v>
      </c>
      <c r="F103" s="25">
        <v>68.5</v>
      </c>
      <c r="G103" s="25">
        <v>58.5</v>
      </c>
      <c r="H103" s="25">
        <v>12</v>
      </c>
      <c r="I103" s="25">
        <v>4.8086999999999998E-2</v>
      </c>
      <c r="J103" s="32"/>
      <c r="K103" s="31"/>
      <c r="L103" s="31"/>
      <c r="M103" s="3"/>
    </row>
    <row r="104" spans="1:13" ht="52.5" customHeight="1">
      <c r="A104" s="67"/>
      <c r="B104" s="33" t="s">
        <v>113</v>
      </c>
      <c r="C104" s="34" t="s">
        <v>114</v>
      </c>
      <c r="D104" s="35">
        <v>14.8</v>
      </c>
      <c r="E104" s="35">
        <v>16.8</v>
      </c>
      <c r="F104" s="36">
        <v>96</v>
      </c>
      <c r="G104" s="36">
        <v>77</v>
      </c>
      <c r="H104" s="36">
        <v>12</v>
      </c>
      <c r="I104" s="25">
        <v>8.8704000000000005E-2</v>
      </c>
      <c r="J104" s="32"/>
      <c r="K104" s="32"/>
      <c r="L104" s="31"/>
      <c r="M104" s="3"/>
    </row>
    <row r="105" spans="1:13" ht="92.25" customHeight="1">
      <c r="A105" s="37" t="s">
        <v>115</v>
      </c>
      <c r="B105" s="33" t="s">
        <v>116</v>
      </c>
      <c r="C105" s="38" t="s">
        <v>117</v>
      </c>
      <c r="D105" s="35">
        <v>18.8</v>
      </c>
      <c r="E105" s="35">
        <v>20.8</v>
      </c>
      <c r="F105" s="36">
        <v>111</v>
      </c>
      <c r="G105" s="36">
        <v>91</v>
      </c>
      <c r="H105" s="36">
        <v>13</v>
      </c>
      <c r="I105" s="25">
        <v>0.13131300000000001</v>
      </c>
      <c r="J105" s="32"/>
      <c r="K105" s="31"/>
      <c r="L105" s="31"/>
      <c r="M105" s="3"/>
    </row>
    <row r="106" spans="1:13" ht="81" customHeight="1">
      <c r="A106" s="39"/>
      <c r="B106" s="40" t="s">
        <v>118</v>
      </c>
      <c r="C106" s="41" t="s">
        <v>119</v>
      </c>
      <c r="D106" s="35">
        <v>20</v>
      </c>
      <c r="E106" s="35">
        <v>22</v>
      </c>
      <c r="F106" s="36">
        <v>92</v>
      </c>
      <c r="G106" s="36">
        <v>14</v>
      </c>
      <c r="H106" s="36">
        <v>65.5</v>
      </c>
      <c r="I106" s="25">
        <v>8.4363999999999995E-2</v>
      </c>
      <c r="J106" s="32"/>
      <c r="K106" s="31"/>
      <c r="L106" s="31"/>
      <c r="M106" s="3"/>
    </row>
    <row r="107" spans="1:13" ht="83.25" customHeight="1">
      <c r="A107" s="39"/>
      <c r="B107" s="40" t="s">
        <v>120</v>
      </c>
      <c r="C107" s="41" t="s">
        <v>121</v>
      </c>
      <c r="D107" s="35">
        <v>20</v>
      </c>
      <c r="E107" s="35">
        <v>22</v>
      </c>
      <c r="F107" s="36">
        <v>95</v>
      </c>
      <c r="G107" s="36">
        <v>82</v>
      </c>
      <c r="H107" s="36">
        <v>16</v>
      </c>
      <c r="I107" s="25">
        <v>0.12464</v>
      </c>
      <c r="J107" s="42" t="s">
        <v>122</v>
      </c>
      <c r="K107" s="31"/>
      <c r="L107" s="31"/>
      <c r="M107" s="3"/>
    </row>
    <row r="108" spans="1:13" ht="39" customHeight="1">
      <c r="A108" s="68" t="s">
        <v>123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3"/>
    </row>
    <row r="109" spans="1:13" s="20" customFormat="1" ht="39" customHeight="1">
      <c r="A109" s="70" t="s">
        <v>130</v>
      </c>
      <c r="B109" s="70" t="s">
        <v>131</v>
      </c>
      <c r="C109" s="22" t="s">
        <v>4</v>
      </c>
      <c r="D109" s="22" t="s">
        <v>7</v>
      </c>
      <c r="E109" s="22" t="s">
        <v>8</v>
      </c>
      <c r="F109" s="22" t="s">
        <v>9</v>
      </c>
      <c r="G109" s="55" t="s">
        <v>137</v>
      </c>
      <c r="H109" s="55"/>
      <c r="I109" s="55"/>
      <c r="J109" s="22" t="s">
        <v>11</v>
      </c>
      <c r="K109" s="43" t="s">
        <v>132</v>
      </c>
      <c r="L109" s="43"/>
    </row>
    <row r="110" spans="1:13" s="20" customFormat="1" ht="27.75" customHeight="1">
      <c r="A110" s="70"/>
      <c r="B110" s="70"/>
      <c r="C110" s="23" t="s">
        <v>12</v>
      </c>
      <c r="D110" s="22" t="s">
        <v>14</v>
      </c>
      <c r="E110" s="24" t="s">
        <v>15</v>
      </c>
      <c r="F110" s="24" t="s">
        <v>15</v>
      </c>
      <c r="G110" s="24" t="s">
        <v>16</v>
      </c>
      <c r="H110" s="24" t="s">
        <v>17</v>
      </c>
      <c r="I110" s="24" t="s">
        <v>18</v>
      </c>
      <c r="J110" s="23" t="s">
        <v>19</v>
      </c>
      <c r="K110" s="43"/>
      <c r="L110" s="43"/>
    </row>
    <row r="111" spans="1:13" ht="47.25" customHeight="1">
      <c r="A111" s="69"/>
      <c r="B111" s="40" t="s">
        <v>124</v>
      </c>
      <c r="C111" s="41" t="s">
        <v>136</v>
      </c>
      <c r="D111" s="21">
        <v>15</v>
      </c>
      <c r="E111" s="44">
        <v>22.5</v>
      </c>
      <c r="F111" s="44">
        <v>23.28</v>
      </c>
      <c r="G111" s="45">
        <v>100</v>
      </c>
      <c r="H111" s="45">
        <v>17.3</v>
      </c>
      <c r="I111" s="45">
        <v>27</v>
      </c>
      <c r="J111" s="22">
        <v>4.6699999999999998E-2</v>
      </c>
      <c r="K111" s="46" t="s">
        <v>138</v>
      </c>
      <c r="L111" s="21"/>
      <c r="M111" s="3"/>
    </row>
    <row r="112" spans="1:13" ht="47.25" customHeight="1">
      <c r="A112" s="69"/>
      <c r="B112" s="40" t="s">
        <v>125</v>
      </c>
      <c r="C112" s="41" t="s">
        <v>135</v>
      </c>
      <c r="D112" s="21">
        <v>15</v>
      </c>
      <c r="E112" s="44"/>
      <c r="F112" s="44"/>
      <c r="G112" s="46"/>
      <c r="H112" s="46"/>
      <c r="I112" s="46"/>
      <c r="J112" s="22"/>
      <c r="K112" s="46"/>
      <c r="L112" s="21" t="s">
        <v>151</v>
      </c>
      <c r="M112" s="3"/>
    </row>
    <row r="113" spans="1:15" ht="47.25" customHeight="1">
      <c r="A113" s="69"/>
      <c r="B113" s="40" t="s">
        <v>128</v>
      </c>
      <c r="C113" s="41" t="s">
        <v>134</v>
      </c>
      <c r="D113" s="21">
        <v>15</v>
      </c>
      <c r="E113" s="44"/>
      <c r="F113" s="44"/>
      <c r="G113" s="46"/>
      <c r="H113" s="46"/>
      <c r="I113" s="46"/>
      <c r="J113" s="22"/>
      <c r="K113" s="46"/>
      <c r="L113" s="21" t="s">
        <v>151</v>
      </c>
      <c r="M113" s="3"/>
    </row>
    <row r="114" spans="1:15" ht="47.25" customHeight="1">
      <c r="A114" s="69"/>
      <c r="B114" s="40" t="s">
        <v>126</v>
      </c>
      <c r="C114" s="41" t="s">
        <v>136</v>
      </c>
      <c r="D114" s="21">
        <v>15</v>
      </c>
      <c r="E114" s="44">
        <v>22.5</v>
      </c>
      <c r="F114" s="44">
        <v>23.28</v>
      </c>
      <c r="G114" s="45">
        <v>100</v>
      </c>
      <c r="H114" s="45">
        <v>17.3</v>
      </c>
      <c r="I114" s="45">
        <v>27</v>
      </c>
      <c r="J114" s="22">
        <v>4.6699999999999998E-2</v>
      </c>
      <c r="K114" s="46" t="s">
        <v>138</v>
      </c>
      <c r="L114" s="21"/>
      <c r="M114" s="3"/>
    </row>
    <row r="115" spans="1:15" ht="47.25" customHeight="1">
      <c r="A115" s="69"/>
      <c r="B115" s="40" t="s">
        <v>127</v>
      </c>
      <c r="C115" s="41" t="s">
        <v>135</v>
      </c>
      <c r="D115" s="21">
        <v>15</v>
      </c>
      <c r="E115" s="44"/>
      <c r="F115" s="44"/>
      <c r="G115" s="46"/>
      <c r="H115" s="46"/>
      <c r="I115" s="46"/>
      <c r="J115" s="22"/>
      <c r="K115" s="46"/>
      <c r="L115" s="21" t="s">
        <v>151</v>
      </c>
      <c r="M115" s="3"/>
    </row>
    <row r="116" spans="1:15" ht="47.25" customHeight="1">
      <c r="A116" s="69"/>
      <c r="B116" s="40" t="s">
        <v>129</v>
      </c>
      <c r="C116" s="41" t="s">
        <v>134</v>
      </c>
      <c r="D116" s="21">
        <v>15</v>
      </c>
      <c r="E116" s="44"/>
      <c r="F116" s="44"/>
      <c r="G116" s="46"/>
      <c r="H116" s="46"/>
      <c r="I116" s="46"/>
      <c r="J116" s="22"/>
      <c r="K116" s="46"/>
      <c r="L116" s="21" t="s">
        <v>151</v>
      </c>
      <c r="M116" s="3"/>
    </row>
    <row r="117" spans="1:15" ht="132" customHeight="1">
      <c r="A117" s="47" t="s">
        <v>150</v>
      </c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12"/>
      <c r="N117" s="12"/>
      <c r="O117" s="12"/>
    </row>
    <row r="118" spans="1:15" ht="39.950000000000003" customHeight="1"/>
    <row r="119" spans="1:15" ht="39.950000000000003" customHeight="1"/>
    <row r="120" spans="1:15" ht="39.950000000000003" customHeight="1"/>
    <row r="121" spans="1:15" ht="39.950000000000003" customHeight="1"/>
    <row r="122" spans="1:15" ht="39.950000000000003" customHeight="1"/>
    <row r="123" spans="1:15" ht="39.950000000000003" customHeight="1"/>
    <row r="124" spans="1:15" ht="39.950000000000003" customHeight="1"/>
    <row r="125" spans="1:15" ht="39.950000000000003" customHeight="1"/>
    <row r="126" spans="1:15" ht="39.950000000000003" customHeight="1"/>
    <row r="127" spans="1:15" ht="39.950000000000003" customHeight="1"/>
    <row r="128" spans="1:15" ht="39.950000000000003" customHeight="1"/>
    <row r="129" ht="39.950000000000003" customHeight="1"/>
    <row r="130" ht="39.950000000000003" customHeight="1"/>
    <row r="131" ht="39.950000000000003" customHeight="1"/>
    <row r="132" ht="39.950000000000003" customHeight="1"/>
    <row r="133" ht="39.950000000000003" customHeight="1"/>
  </sheetData>
  <mergeCells count="76">
    <mergeCell ref="A108:L108"/>
    <mergeCell ref="A111:A113"/>
    <mergeCell ref="A114:A116"/>
    <mergeCell ref="A109:A110"/>
    <mergeCell ref="B109:B110"/>
    <mergeCell ref="G109:I109"/>
    <mergeCell ref="A96:L96"/>
    <mergeCell ref="B101:B102"/>
    <mergeCell ref="A101:A102"/>
    <mergeCell ref="A103:A104"/>
    <mergeCell ref="B3:B4"/>
    <mergeCell ref="B12:B13"/>
    <mergeCell ref="B21:B22"/>
    <mergeCell ref="B29:B30"/>
    <mergeCell ref="B37:B38"/>
    <mergeCell ref="B46:B47"/>
    <mergeCell ref="B55:B56"/>
    <mergeCell ref="B63:B64"/>
    <mergeCell ref="B71:B72"/>
    <mergeCell ref="B78:B79"/>
    <mergeCell ref="B85:B86"/>
    <mergeCell ref="B91:B92"/>
    <mergeCell ref="A85:A86"/>
    <mergeCell ref="A87:A89"/>
    <mergeCell ref="A91:A92"/>
    <mergeCell ref="A93:A95"/>
    <mergeCell ref="A84:L84"/>
    <mergeCell ref="I85:K85"/>
    <mergeCell ref="A90:L90"/>
    <mergeCell ref="I91:K91"/>
    <mergeCell ref="A46:A47"/>
    <mergeCell ref="A48:A53"/>
    <mergeCell ref="A55:A56"/>
    <mergeCell ref="A57:A61"/>
    <mergeCell ref="A80:A83"/>
    <mergeCell ref="A23:A27"/>
    <mergeCell ref="A29:A30"/>
    <mergeCell ref="A31:A35"/>
    <mergeCell ref="A37:A38"/>
    <mergeCell ref="A39:A44"/>
    <mergeCell ref="A3:A4"/>
    <mergeCell ref="A5:A10"/>
    <mergeCell ref="A12:A13"/>
    <mergeCell ref="A14:A19"/>
    <mergeCell ref="A21:A22"/>
    <mergeCell ref="I97:K97"/>
    <mergeCell ref="A97:A98"/>
    <mergeCell ref="B97:B98"/>
    <mergeCell ref="A100:L100"/>
    <mergeCell ref="F101:H101"/>
    <mergeCell ref="I63:K63"/>
    <mergeCell ref="A70:L70"/>
    <mergeCell ref="I71:K71"/>
    <mergeCell ref="A77:L77"/>
    <mergeCell ref="I78:K78"/>
    <mergeCell ref="A63:A64"/>
    <mergeCell ref="A65:A69"/>
    <mergeCell ref="A71:A72"/>
    <mergeCell ref="A73:A76"/>
    <mergeCell ref="A78:A79"/>
    <mergeCell ref="A117:L117"/>
    <mergeCell ref="A1:L1"/>
    <mergeCell ref="A2:L2"/>
    <mergeCell ref="I3:K3"/>
    <mergeCell ref="I12:K12"/>
    <mergeCell ref="A20:L20"/>
    <mergeCell ref="I21:K21"/>
    <mergeCell ref="A28:L28"/>
    <mergeCell ref="I29:K29"/>
    <mergeCell ref="A36:L36"/>
    <mergeCell ref="I37:K37"/>
    <mergeCell ref="A45:L45"/>
    <mergeCell ref="I46:K46"/>
    <mergeCell ref="A54:L54"/>
    <mergeCell ref="I55:K55"/>
    <mergeCell ref="A62:L62"/>
  </mergeCells>
  <phoneticPr fontId="28" type="noConversion"/>
  <printOptions horizontalCentered="1"/>
  <pageMargins left="7.874015748031496E-2" right="7.874015748031496E-2" top="0.19685039370078741" bottom="0.19685039370078741" header="0.31496062992125984" footer="0.31496062992125984"/>
  <pageSetup paperSize="256" scale="85" firstPageNumber="4294963191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28" type="noConversion"/>
  <pageMargins left="0.69791666666666696" right="0.69791666666666696" top="0.75" bottom="0.75" header="0.3" footer="0.3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6" sqref="L16"/>
    </sheetView>
  </sheetViews>
  <sheetFormatPr defaultColWidth="9" defaultRowHeight="13.5" customHeight="1"/>
  <sheetData/>
  <phoneticPr fontId="28" type="noConversion"/>
  <pageMargins left="0.69791666666666696" right="0.69791666666666696" top="0.75" bottom="0.75" header="0.3" footer="0.3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2018-08-22T07:35:17Z</cp:lastPrinted>
  <dcterms:created xsi:type="dcterms:W3CDTF">2010-09-23T03:56:00Z</dcterms:created>
  <dcterms:modified xsi:type="dcterms:W3CDTF">2018-10-12T06:23:03Z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